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Technischer Dienst\2_Malergewerbe\K M G\Arbeitszeitkontrolle\Arbeitszeitkontrolle 2024\Def. Versionen_Originale\"/>
    </mc:Choice>
  </mc:AlternateContent>
  <xr:revisionPtr revIDLastSave="0" documentId="13_ncr:1_{8CE03A9A-C38F-4FE4-A632-6AE412651444}" xr6:coauthVersionLast="47" xr6:coauthVersionMax="47" xr10:uidLastSave="{00000000-0000-0000-0000-000000000000}"/>
  <workbookProtection workbookAlgorithmName="SHA-512" workbookHashValue="DgjYyt82QZsY9uJ2INdnIqQ0kmcl/EF5OxSeaEYBKKASLO8TUMKnxibjl0lL9UUnpAT/d1cFI1l7vA8IT5YueQ==" workbookSaltValue="nRWmHj6sjWmdVQfSOtaTUg==" workbookSpinCount="100000" lockStructure="1"/>
  <bookViews>
    <workbookView xWindow="-120" yWindow="-120" windowWidth="29040" windowHeight="17640" tabRatio="883" firstSheet="8" activeTab="21" xr2:uid="{00000000-000D-0000-FFFF-FFFF00000000}"/>
  </bookViews>
  <sheets>
    <sheet name="Admin_Konfig" sheetId="140" state="hidden" r:id="rId1"/>
    <sheet name="H_Calendar" sheetId="143" state="veryHidden" r:id="rId2"/>
    <sheet name="H_Jahr" sheetId="190" state="veryHidden" r:id="rId3"/>
    <sheet name="H_Basis" sheetId="144" state="veryHidden" r:id="rId4"/>
    <sheet name="H_MNT" sheetId="145" state="veryHidden" r:id="rId5"/>
    <sheet name="H_KW" sheetId="141" state="veryHidden" r:id="rId6"/>
    <sheet name="H_Tag" sheetId="157" state="veryHidden" r:id="rId7"/>
    <sheet name="H_Label" sheetId="28" state="veryHidden" r:id="rId8"/>
    <sheet name="Basisblatt" sheetId="138" r:id="rId9"/>
    <sheet name="JAN" sheetId="135" r:id="rId10"/>
    <sheet name="FEB" sheetId="258" r:id="rId11"/>
    <sheet name="MRZ" sheetId="257" r:id="rId12"/>
    <sheet name="APR" sheetId="256" r:id="rId13"/>
    <sheet name="MAI" sheetId="255" r:id="rId14"/>
    <sheet name="JUN" sheetId="254" r:id="rId15"/>
    <sheet name="JUL" sheetId="253" r:id="rId16"/>
    <sheet name="AUG" sheetId="252" r:id="rId17"/>
    <sheet name="SEP" sheetId="251" r:id="rId18"/>
    <sheet name="OKT" sheetId="250" r:id="rId19"/>
    <sheet name="NOV" sheetId="249" r:id="rId20"/>
    <sheet name="DEZ" sheetId="248" r:id="rId21"/>
    <sheet name="Jahresauswertung" sheetId="139" r:id="rId22"/>
  </sheets>
  <definedNames>
    <definedName name="A_fldJahrBruttoStd">Admin_Konfig!$V$20</definedName>
    <definedName name="A_fldMaxPhoch">Admin_Konfig!$K$12</definedName>
    <definedName name="A_fldMaxPtief">Admin_Konfig!$K$13</definedName>
    <definedName name="A_fldMaxTagStd">Admin_Konfig!$G$22</definedName>
    <definedName name="A_fldMaxWStd">Admin_Konfig!$G$23</definedName>
    <definedName name="A_fldMinPhoch">Admin_Konfig!$G$12</definedName>
    <definedName name="A_fldMinPtief">Admin_Konfig!$G$13</definedName>
    <definedName name="A_fldNettoAT">Admin_Konfig!$F$8</definedName>
    <definedName name="A_fldSollTagStd">Admin_Konfig!$G$20</definedName>
    <definedName name="A_fldZ1">Admin_Konfig!$V$12</definedName>
    <definedName name="A_fldZ2">Admin_Konfig!$V$13</definedName>
    <definedName name="A_fldZ3">Admin_Konfig!$V$14</definedName>
    <definedName name="A_Jahr">Admin_Konfig!$F$3</definedName>
    <definedName name="A_SJ">Admin_Konfig!$F$7</definedName>
    <definedName name="anstellungsdetails" comment="Angaben zur Anstellung, wie Pensum und Arbeitstage" localSheetId="12" hidden="1">APR!#REF!</definedName>
    <definedName name="anstellungsdetails" comment="Angaben zur Anstellung, wie Pensum und Arbeitstage" localSheetId="16" hidden="1">AUG!#REF!</definedName>
    <definedName name="anstellungsdetails" comment="Angaben zur Anstellung, wie Pensum und Arbeitstage" localSheetId="20" hidden="1">DEZ!#REF!</definedName>
    <definedName name="anstellungsdetails" comment="Angaben zur Anstellung, wie Pensum und Arbeitstage" localSheetId="10" hidden="1">FEB!#REF!</definedName>
    <definedName name="anstellungsdetails" comment="Angaben zur Anstellung, wie Pensum und Arbeitstage" localSheetId="21" hidden="1">Jahresauswertung!#REF!</definedName>
    <definedName name="anstellungsdetails" comment="Angaben zur Anstellung, wie Pensum und Arbeitstage" localSheetId="9" hidden="1">JAN!#REF!</definedName>
    <definedName name="anstellungsdetails" comment="Angaben zur Anstellung, wie Pensum und Arbeitstage" localSheetId="15" hidden="1">JUL!#REF!</definedName>
    <definedName name="anstellungsdetails" comment="Angaben zur Anstellung, wie Pensum und Arbeitstage" localSheetId="14" hidden="1">JUN!#REF!</definedName>
    <definedName name="anstellungsdetails" comment="Angaben zur Anstellung, wie Pensum und Arbeitstage" localSheetId="13" hidden="1">MAI!#REF!</definedName>
    <definedName name="anstellungsdetails" comment="Angaben zur Anstellung, wie Pensum und Arbeitstage" localSheetId="11" hidden="1">MRZ!#REF!</definedName>
    <definedName name="anstellungsdetails" comment="Angaben zur Anstellung, wie Pensum und Arbeitstage" localSheetId="19" hidden="1">NOV!#REF!</definedName>
    <definedName name="anstellungsdetails" comment="Angaben zur Anstellung, wie Pensum und Arbeitstage" localSheetId="18" hidden="1">OKT!#REF!</definedName>
    <definedName name="anstellungsdetails" comment="Angaben zur Anstellung, wie Pensum und Arbeitstage" localSheetId="17" hidden="1">SEP!#REF!</definedName>
    <definedName name="arbeitstage" comment="Arbeitstage MO-FR (alle Monate)" localSheetId="12" hidden="1">APR!#REF!</definedName>
    <definedName name="arbeitstage" comment="Arbeitstage MO-FR (alle Monate)" localSheetId="16" hidden="1">AUG!#REF!</definedName>
    <definedName name="arbeitstage" comment="Arbeitstage MO-FR (alle Monate)" localSheetId="20" hidden="1">DEZ!#REF!</definedName>
    <definedName name="arbeitstage" comment="Arbeitstage MO-FR (alle Monate)" localSheetId="10" hidden="1">FEB!#REF!</definedName>
    <definedName name="arbeitstage" comment="Arbeitstage MO-FR (alle Monate)" localSheetId="21" hidden="1">Jahresauswertung!#REF!</definedName>
    <definedName name="arbeitstage" comment="Arbeitstage MO-FR (alle Monate)" localSheetId="9" hidden="1">JAN!#REF!</definedName>
    <definedName name="arbeitstage" comment="Arbeitstage MO-FR (alle Monate)" localSheetId="15" hidden="1">JUL!#REF!</definedName>
    <definedName name="arbeitstage" comment="Arbeitstage MO-FR (alle Monate)" localSheetId="14" hidden="1">JUN!#REF!</definedName>
    <definedName name="arbeitstage" comment="Arbeitstage MO-FR (alle Monate)" localSheetId="13" hidden="1">MAI!#REF!</definedName>
    <definedName name="arbeitstage" comment="Arbeitstage MO-FR (alle Monate)" localSheetId="11" hidden="1">MRZ!#REF!</definedName>
    <definedName name="arbeitstage" comment="Arbeitstage MO-FR (alle Monate)" localSheetId="19" hidden="1">NOV!#REF!</definedName>
    <definedName name="arbeitstage" comment="Arbeitstage MO-FR (alle Monate)" localSheetId="18" hidden="1">OKT!#REF!</definedName>
    <definedName name="arbeitstage" comment="Arbeitstage MO-FR (alle Monate)" localSheetId="17" hidden="1">SEP!#REF!</definedName>
    <definedName name="B_fldFerienBasis" comment="Basis Ferienguthaben laufendes Jahr">Basisblatt!$AB$13</definedName>
    <definedName name="B_fldFerienVJ" comment="Feriensaldo Vorjahr (Übertrag)">Basisblatt!$K$13</definedName>
    <definedName name="B_fldFirma" comment="Firmenbezeichnung">Basisblatt!$G$3</definedName>
    <definedName name="B_fldMA" comment="Mitarbeiter:in">Basisblatt!$G$6</definedName>
    <definedName name="B_fldMntGleich">Basisblatt!$F$40</definedName>
    <definedName name="B_fldSaldoVJ" comment="Stundensaldo Vorjahr (Übertrag)">Basisblatt!$K$12</definedName>
    <definedName name="B_fldTageGleich">Basisblatt!$M$40</definedName>
    <definedName name="B_tblFeiertage" comment="Feiertagskalender">Basisblatt!$C$21:$AE$32,Basisblatt!$AF$21,Basisblatt!$AF$23:$AF$32,Basisblatt!$AG$21,Basisblatt!$AG$23,Basisblatt!$AG$25,Basisblatt!$AG$27:$AG$28,Basisblatt!$AG$30,Basisblatt!$AG$32</definedName>
    <definedName name="B_tblFTMatrix">Basisblatt!$C$21:$AG$32</definedName>
    <definedName name="B_tblPensum">Basisblatt!$E$43:$N$54</definedName>
    <definedName name="beschaeftigungsgrad" comment="Beschäftigungsgrad in Prozent (alle Monate)" localSheetId="12" hidden="1">APR!#REF!</definedName>
    <definedName name="beschaeftigungsgrad" comment="Beschäftigungsgrad in Prozent (alle Monate)" localSheetId="16" hidden="1">AUG!#REF!</definedName>
    <definedName name="beschaeftigungsgrad" comment="Beschäftigungsgrad in Prozent (alle Monate)" localSheetId="20" hidden="1">DEZ!#REF!</definedName>
    <definedName name="beschaeftigungsgrad" comment="Beschäftigungsgrad in Prozent (alle Monate)" localSheetId="10" hidden="1">FEB!#REF!</definedName>
    <definedName name="beschaeftigungsgrad" comment="Beschäftigungsgrad in Prozent (alle Monate)" localSheetId="21" hidden="1">Jahresauswertung!#REF!</definedName>
    <definedName name="beschaeftigungsgrad" comment="Beschäftigungsgrad in Prozent (alle Monate)" localSheetId="9" hidden="1">JAN!#REF!</definedName>
    <definedName name="beschaeftigungsgrad" comment="Beschäftigungsgrad in Prozent (alle Monate)" localSheetId="15" hidden="1">JUL!#REF!</definedName>
    <definedName name="beschaeftigungsgrad" comment="Beschäftigungsgrad in Prozent (alle Monate)" localSheetId="14" hidden="1">JUN!#REF!</definedName>
    <definedName name="beschaeftigungsgrad" comment="Beschäftigungsgrad in Prozent (alle Monate)" localSheetId="13" hidden="1">MAI!#REF!</definedName>
    <definedName name="beschaeftigungsgrad" comment="Beschäftigungsgrad in Prozent (alle Monate)" localSheetId="11" hidden="1">MRZ!#REF!</definedName>
    <definedName name="beschaeftigungsgrad" comment="Beschäftigungsgrad in Prozent (alle Monate)" localSheetId="19" hidden="1">NOV!#REF!</definedName>
    <definedName name="beschaeftigungsgrad" comment="Beschäftigungsgrad in Prozent (alle Monate)" localSheetId="18" hidden="1">OKT!#REF!</definedName>
    <definedName name="beschaeftigungsgrad" comment="Beschäftigungsgrad in Prozent (alle Monate)" localSheetId="17" hidden="1">SEP!#REF!</definedName>
    <definedName name="beschaeftigungsgradCalc" comment="Kalkulierter Beschäftigungsgrad des Expertenmodus" localSheetId="12" hidden="1">APR!#REF!</definedName>
    <definedName name="beschaeftigungsgradCalc" comment="Kalkulierter Beschäftigungsgrad des Expertenmodus" localSheetId="16" hidden="1">AUG!#REF!</definedName>
    <definedName name="beschaeftigungsgradCalc" comment="Kalkulierter Beschäftigungsgrad des Expertenmodus" localSheetId="20" hidden="1">DEZ!#REF!</definedName>
    <definedName name="beschaeftigungsgradCalc" comment="Kalkulierter Beschäftigungsgrad des Expertenmodus" localSheetId="10" hidden="1">FEB!#REF!</definedName>
    <definedName name="beschaeftigungsgradCalc" comment="Kalkulierter Beschäftigungsgrad des Expertenmodus" localSheetId="21" hidden="1">Jahresauswertung!#REF!</definedName>
    <definedName name="beschaeftigungsgradCalc" comment="Kalkulierter Beschäftigungsgrad des Expertenmodus" localSheetId="9" hidden="1">JAN!#REF!</definedName>
    <definedName name="beschaeftigungsgradCalc" comment="Kalkulierter Beschäftigungsgrad des Expertenmodus" localSheetId="15" hidden="1">JUL!#REF!</definedName>
    <definedName name="beschaeftigungsgradCalc" comment="Kalkulierter Beschäftigungsgrad des Expertenmodus" localSheetId="14" hidden="1">JUN!#REF!</definedName>
    <definedName name="beschaeftigungsgradCalc" comment="Kalkulierter Beschäftigungsgrad des Expertenmodus" localSheetId="13" hidden="1">MAI!#REF!</definedName>
    <definedName name="beschaeftigungsgradCalc" comment="Kalkulierter Beschäftigungsgrad des Expertenmodus" localSheetId="11" hidden="1">MRZ!#REF!</definedName>
    <definedName name="beschaeftigungsgradCalc" comment="Kalkulierter Beschäftigungsgrad des Expertenmodus" localSheetId="19" hidden="1">NOV!#REF!</definedName>
    <definedName name="beschaeftigungsgradCalc" comment="Kalkulierter Beschäftigungsgrad des Expertenmodus" localSheetId="18" hidden="1">OKT!#REF!</definedName>
    <definedName name="beschaeftigungsgradCalc" comment="Kalkulierter Beschäftigungsgrad des Expertenmodus" localSheetId="17" hidden="1">SEP!#REF!</definedName>
    <definedName name="calendarCodeNames" comment="CodeNames für Kalender-Konfig (aktuell, alt und neu)" localSheetId="12" hidden="1">APR!#REF!,APR!#REF!,APR!#REF!</definedName>
    <definedName name="calendarCodeNames" comment="CodeNames für Kalender-Konfig (aktuell, alt und neu)" localSheetId="16" hidden="1">AUG!#REF!,AUG!#REF!,AUG!#REF!</definedName>
    <definedName name="calendarCodeNames" comment="CodeNames für Kalender-Konfig (aktuell, alt und neu)" localSheetId="20" hidden="1">DEZ!#REF!,DEZ!#REF!,DEZ!#REF!</definedName>
    <definedName name="calendarCodeNames" comment="CodeNames für Kalender-Konfig (aktuell, alt und neu)" localSheetId="10" hidden="1">FEB!#REF!,FEB!#REF!,FEB!#REF!</definedName>
    <definedName name="calendarCodeNames" comment="CodeNames für Kalender-Konfig (aktuell, alt und neu)" localSheetId="21" hidden="1">Jahresauswertung!$AL$41,Jahresauswertung!#REF!,Jahresauswertung!$AL$48</definedName>
    <definedName name="calendarCodeNames" comment="CodeNames für Kalender-Konfig (aktuell, alt und neu)" localSheetId="9" hidden="1">JAN!#REF!,JAN!#REF!,JAN!#REF!</definedName>
    <definedName name="calendarCodeNames" comment="CodeNames für Kalender-Konfig (aktuell, alt und neu)" localSheetId="15" hidden="1">JUL!#REF!,JUL!#REF!,JUL!#REF!</definedName>
    <definedName name="calendarCodeNames" comment="CodeNames für Kalender-Konfig (aktuell, alt und neu)" localSheetId="14" hidden="1">JUN!#REF!,JUN!#REF!,JUN!#REF!</definedName>
    <definedName name="calendarCodeNames" comment="CodeNames für Kalender-Konfig (aktuell, alt und neu)" localSheetId="13" hidden="1">MAI!#REF!,MAI!#REF!,MAI!#REF!</definedName>
    <definedName name="calendarCodeNames" comment="CodeNames für Kalender-Konfig (aktuell, alt und neu)" localSheetId="11" hidden="1">MRZ!#REF!,MRZ!#REF!,MRZ!#REF!</definedName>
    <definedName name="calendarCodeNames" comment="CodeNames für Kalender-Konfig (aktuell, alt und neu)" localSheetId="19" hidden="1">NOV!#REF!,NOV!#REF!,NOV!#REF!</definedName>
    <definedName name="calendarCodeNames" comment="CodeNames für Kalender-Konfig (aktuell, alt und neu)" localSheetId="18" hidden="1">OKT!#REF!,OKT!#REF!,OKT!#REF!</definedName>
    <definedName name="calendarCodeNames" comment="CodeNames für Kalender-Konfig (aktuell, alt und neu)" localSheetId="17" hidden="1">SEP!#REF!,SEP!#REF!,SEP!#REF!</definedName>
    <definedName name="calendarNames" comment="Bereich der Kalenderkonfig mit Tab-Namen (aktuell, alt, neu)" localSheetId="12" hidden="1">APR!#REF!,APR!#REF!,APR!#REF!</definedName>
    <definedName name="calendarNames" comment="Bereich der Kalenderkonfig mit Tab-Namen (aktuell, alt, neu)" localSheetId="16" hidden="1">AUG!#REF!,AUG!#REF!,AUG!#REF!</definedName>
    <definedName name="calendarNames" comment="Bereich der Kalenderkonfig mit Tab-Namen (aktuell, alt, neu)" localSheetId="20" hidden="1">DEZ!#REF!,DEZ!#REF!,DEZ!#REF!</definedName>
    <definedName name="calendarNames" comment="Bereich der Kalenderkonfig mit Tab-Namen (aktuell, alt, neu)" localSheetId="10" hidden="1">FEB!#REF!,FEB!#REF!,FEB!#REF!</definedName>
    <definedName name="calendarNames" comment="Bereich der Kalenderkonfig mit Tab-Namen (aktuell, alt, neu)" localSheetId="21" hidden="1">Jahresauswertung!$AR$41,Jahresauswertung!#REF!,Jahresauswertung!$AR$48</definedName>
    <definedName name="calendarNames" comment="Bereich der Kalenderkonfig mit Tab-Namen (aktuell, alt, neu)" localSheetId="9" hidden="1">JAN!#REF!,JAN!#REF!,JAN!#REF!</definedName>
    <definedName name="calendarNames" comment="Bereich der Kalenderkonfig mit Tab-Namen (aktuell, alt, neu)" localSheetId="15" hidden="1">JUL!#REF!,JUL!#REF!,JUL!#REF!</definedName>
    <definedName name="calendarNames" comment="Bereich der Kalenderkonfig mit Tab-Namen (aktuell, alt, neu)" localSheetId="14" hidden="1">JUN!#REF!,JUN!#REF!,JUN!#REF!</definedName>
    <definedName name="calendarNames" comment="Bereich der Kalenderkonfig mit Tab-Namen (aktuell, alt, neu)" localSheetId="13" hidden="1">MAI!#REF!,MAI!#REF!,MAI!#REF!</definedName>
    <definedName name="calendarNames" comment="Bereich der Kalenderkonfig mit Tab-Namen (aktuell, alt, neu)" localSheetId="11" hidden="1">MRZ!#REF!,MRZ!#REF!,MRZ!#REF!</definedName>
    <definedName name="calendarNames" comment="Bereich der Kalenderkonfig mit Tab-Namen (aktuell, alt, neu)" localSheetId="19" hidden="1">NOV!#REF!,NOV!#REF!,NOV!#REF!</definedName>
    <definedName name="calendarNames" comment="Bereich der Kalenderkonfig mit Tab-Namen (aktuell, alt, neu)" localSheetId="18" hidden="1">OKT!#REF!,OKT!#REF!,OKT!#REF!</definedName>
    <definedName name="calendarNames" comment="Bereich der Kalenderkonfig mit Tab-Namen (aktuell, alt, neu)" localSheetId="17" hidden="1">SEP!#REF!,SEP!#REF!,SEP!#REF!</definedName>
    <definedName name="currentCalendarCN" comment="aktueller Kalender intern" localSheetId="12" hidden="1">APR!#REF!</definedName>
    <definedName name="currentCalendarCN" comment="aktueller Kalender intern" localSheetId="16" hidden="1">AUG!#REF!</definedName>
    <definedName name="currentCalendarCN" comment="aktueller Kalender intern" localSheetId="20" hidden="1">DEZ!#REF!</definedName>
    <definedName name="currentCalendarCN" comment="aktueller Kalender intern" localSheetId="10" hidden="1">FEB!#REF!</definedName>
    <definedName name="currentCalendarCN" comment="aktueller Kalender intern" localSheetId="21" hidden="1">Jahresauswertung!$AL$41</definedName>
    <definedName name="currentCalendarCN" comment="aktueller Kalender intern" localSheetId="9" hidden="1">JAN!#REF!</definedName>
    <definedName name="currentCalendarCN" comment="aktueller Kalender intern" localSheetId="15" hidden="1">JUL!#REF!</definedName>
    <definedName name="currentCalendarCN" comment="aktueller Kalender intern" localSheetId="14" hidden="1">JUN!#REF!</definedName>
    <definedName name="currentCalendarCN" comment="aktueller Kalender intern" localSheetId="13" hidden="1">MAI!#REF!</definedName>
    <definedName name="currentCalendarCN" comment="aktueller Kalender intern" localSheetId="11" hidden="1">MRZ!#REF!</definedName>
    <definedName name="currentCalendarCN" comment="aktueller Kalender intern" localSheetId="19" hidden="1">NOV!#REF!</definedName>
    <definedName name="currentCalendarCN" comment="aktueller Kalender intern" localSheetId="18" hidden="1">OKT!#REF!</definedName>
    <definedName name="currentCalendarCN" comment="aktueller Kalender intern" localSheetId="17" hidden="1">SEP!#REF!</definedName>
    <definedName name="currentCalendarN" comment="aktueller Kalender" localSheetId="12" hidden="1">APR!#REF!</definedName>
    <definedName name="currentCalendarN" comment="aktueller Kalender" localSheetId="16" hidden="1">AUG!#REF!</definedName>
    <definedName name="currentCalendarN" comment="aktueller Kalender" localSheetId="20" hidden="1">DEZ!#REF!</definedName>
    <definedName name="currentCalendarN" comment="aktueller Kalender" localSheetId="10" hidden="1">FEB!#REF!</definedName>
    <definedName name="currentCalendarN" comment="aktueller Kalender" localSheetId="21" hidden="1">Jahresauswertung!$AR$41</definedName>
    <definedName name="currentCalendarN" comment="aktueller Kalender" localSheetId="9" hidden="1">JAN!#REF!</definedName>
    <definedName name="currentCalendarN" comment="aktueller Kalender" localSheetId="15" hidden="1">JUL!#REF!</definedName>
    <definedName name="currentCalendarN" comment="aktueller Kalender" localSheetId="14" hidden="1">JUN!#REF!</definedName>
    <definedName name="currentCalendarN" comment="aktueller Kalender" localSheetId="13" hidden="1">MAI!#REF!</definedName>
    <definedName name="currentCalendarN" comment="aktueller Kalender" localSheetId="11" hidden="1">MRZ!#REF!</definedName>
    <definedName name="currentCalendarN" comment="aktueller Kalender" localSheetId="19" hidden="1">NOV!#REF!</definedName>
    <definedName name="currentCalendarN" comment="aktueller Kalender" localSheetId="18" hidden="1">OKT!#REF!</definedName>
    <definedName name="currentCalendarN" comment="aktueller Kalender" localSheetId="17" hidden="1">SEP!#REF!</definedName>
    <definedName name="D_Debug">H_Basis!$P$4</definedName>
    <definedName name="_xlnm.Print_Area" localSheetId="12">APR!$D$6:$AJ$61</definedName>
    <definedName name="_xlnm.Print_Area" localSheetId="16">AUG!$D$6:$AJ$61</definedName>
    <definedName name="_xlnm.Print_Area" localSheetId="8">Basisblatt!$A$1:$AH$56</definedName>
    <definedName name="_xlnm.Print_Area" localSheetId="20">DEZ!$D$6:$AJ$61</definedName>
    <definedName name="_xlnm.Print_Area" localSheetId="10">FEB!$D$6:$AJ$61</definedName>
    <definedName name="_xlnm.Print_Area" localSheetId="21">Jahresauswertung!$B$2:$AG$50</definedName>
    <definedName name="_xlnm.Print_Area" localSheetId="9">JAN!$D$6:$AJ$61</definedName>
    <definedName name="_xlnm.Print_Area" localSheetId="15">JUL!$D$6:$AJ$61</definedName>
    <definedName name="_xlnm.Print_Area" localSheetId="14">JUN!$D$6:$AJ$61</definedName>
    <definedName name="_xlnm.Print_Area" localSheetId="13">MAI!$D$6:$AJ$61</definedName>
    <definedName name="_xlnm.Print_Area" localSheetId="11">MRZ!$D$6:$AJ$61</definedName>
    <definedName name="_xlnm.Print_Area" localSheetId="19">NOV!$D$6:$AJ$61</definedName>
    <definedName name="_xlnm.Print_Area" localSheetId="18">OKT!$D$6:$AJ$61</definedName>
    <definedName name="_xlnm.Print_Area" localSheetId="17">SEP!$D$6:$AJ$61</definedName>
    <definedName name="einPensum" comment="Legt feste, ob die Anstellungsmodalitäten in der Konfiguration gleich geschaltet werden sollen (Vorgabe: Januar)" localSheetId="12" hidden="1">APR!#REF!</definedName>
    <definedName name="einPensum" comment="Legt feste, ob die Anstellungsmodalitäten in der Konfiguration gleich geschaltet werden sollen (Vorgabe: Januar)" localSheetId="16" hidden="1">AUG!#REF!</definedName>
    <definedName name="einPensum" comment="Legt feste, ob die Anstellungsmodalitäten in der Konfiguration gleich geschaltet werden sollen (Vorgabe: Januar)" localSheetId="20" hidden="1">DEZ!#REF!</definedName>
    <definedName name="einPensum" comment="Legt feste, ob die Anstellungsmodalitäten in der Konfiguration gleich geschaltet werden sollen (Vorgabe: Januar)" localSheetId="10" hidden="1">FEB!#REF!</definedName>
    <definedName name="einPensum" comment="Legt feste, ob die Anstellungsmodalitäten in der Konfiguration gleich geschaltet werden sollen (Vorgabe: Januar)" localSheetId="21" hidden="1">Jahresauswertung!#REF!</definedName>
    <definedName name="einPensum" comment="Legt feste, ob die Anstellungsmodalitäten in der Konfiguration gleich geschaltet werden sollen (Vorgabe: Januar)" localSheetId="9" hidden="1">JAN!#REF!</definedName>
    <definedName name="einPensum" comment="Legt feste, ob die Anstellungsmodalitäten in der Konfiguration gleich geschaltet werden sollen (Vorgabe: Januar)" localSheetId="15" hidden="1">JUL!#REF!</definedName>
    <definedName name="einPensum" comment="Legt feste, ob die Anstellungsmodalitäten in der Konfiguration gleich geschaltet werden sollen (Vorgabe: Januar)" localSheetId="14" hidden="1">JUN!#REF!</definedName>
    <definedName name="einPensum" comment="Legt feste, ob die Anstellungsmodalitäten in der Konfiguration gleich geschaltet werden sollen (Vorgabe: Januar)" localSheetId="13" hidden="1">MAI!#REF!</definedName>
    <definedName name="einPensum" comment="Legt feste, ob die Anstellungsmodalitäten in der Konfiguration gleich geschaltet werden sollen (Vorgabe: Januar)" localSheetId="11" hidden="1">MRZ!#REF!</definedName>
    <definedName name="einPensum" comment="Legt feste, ob die Anstellungsmodalitäten in der Konfiguration gleich geschaltet werden sollen (Vorgabe: Januar)" localSheetId="19" hidden="1">NOV!#REF!</definedName>
    <definedName name="einPensum" comment="Legt feste, ob die Anstellungsmodalitäten in der Konfiguration gleich geschaltet werden sollen (Vorgabe: Januar)" localSheetId="18" hidden="1">OKT!#REF!</definedName>
    <definedName name="einPensum" comment="Legt feste, ob die Anstellungsmodalitäten in der Konfiguration gleich geschaltet werden sollen (Vorgabe: Januar)" localSheetId="17" hidden="1">SEP!#REF!</definedName>
    <definedName name="expertenmodusAktiv" comment="Lege fest, ob das Pensum im Expertenmodus festgelegt wird" localSheetId="12" hidden="1">APR!#REF!</definedName>
    <definedName name="expertenmodusAktiv" comment="Lege fest, ob das Pensum im Expertenmodus festgelegt wird" localSheetId="16" hidden="1">AUG!#REF!</definedName>
    <definedName name="expertenmodusAktiv" comment="Lege fest, ob das Pensum im Expertenmodus festgelegt wird" localSheetId="20" hidden="1">DEZ!#REF!</definedName>
    <definedName name="expertenmodusAktiv" comment="Lege fest, ob das Pensum im Expertenmodus festgelegt wird" localSheetId="10" hidden="1">FEB!#REF!</definedName>
    <definedName name="expertenmodusAktiv" comment="Lege fest, ob das Pensum im Expertenmodus festgelegt wird" localSheetId="21" hidden="1">Jahresauswertung!#REF!</definedName>
    <definedName name="expertenmodusAktiv" comment="Lege fest, ob das Pensum im Expertenmodus festgelegt wird" localSheetId="9" hidden="1">JAN!#REF!</definedName>
    <definedName name="expertenmodusAktiv" comment="Lege fest, ob das Pensum im Expertenmodus festgelegt wird" localSheetId="15" hidden="1">JUL!#REF!</definedName>
    <definedName name="expertenmodusAktiv" comment="Lege fest, ob das Pensum im Expertenmodus festgelegt wird" localSheetId="14" hidden="1">JUN!#REF!</definedName>
    <definedName name="expertenmodusAktiv" comment="Lege fest, ob das Pensum im Expertenmodus festgelegt wird" localSheetId="13" hidden="1">MAI!#REF!</definedName>
    <definedName name="expertenmodusAktiv" comment="Lege fest, ob das Pensum im Expertenmodus festgelegt wird" localSheetId="11" hidden="1">MRZ!#REF!</definedName>
    <definedName name="expertenmodusAktiv" comment="Lege fest, ob das Pensum im Expertenmodus festgelegt wird" localSheetId="19" hidden="1">NOV!#REF!</definedName>
    <definedName name="expertenmodusAktiv" comment="Lege fest, ob das Pensum im Expertenmodus festgelegt wird" localSheetId="18" hidden="1">OKT!#REF!</definedName>
    <definedName name="expertenmodusAktiv" comment="Lege fest, ob das Pensum im Expertenmodus festgelegt wird" localSheetId="17" hidden="1">SEP!#REF!</definedName>
    <definedName name="ftFormula" comment="Formeln zur Ermittlung der Feiertage" localSheetId="12" hidden="1">APR!#REF!,APR!#REF!,APR!#REF!,APR!#REF!,APR!#REF!,APR!#REF!,APR!#REF!,APR!#REF!,APR!#REF!,APR!#REF!,APR!#REF!,APR!#REF!</definedName>
    <definedName name="ftFormula" comment="Formeln zur Ermittlung der Feiertage" localSheetId="16" hidden="1">AUG!#REF!,AUG!#REF!,AUG!#REF!,AUG!#REF!,AUG!#REF!,AUG!#REF!,AUG!#REF!,AUG!#REF!,AUG!#REF!,AUG!#REF!,AUG!#REF!,AUG!#REF!</definedName>
    <definedName name="ftFormula" comment="Formeln zur Ermittlung der Feiertage" localSheetId="20" hidden="1">DEZ!#REF!,DEZ!#REF!,DEZ!#REF!,DEZ!#REF!,DEZ!#REF!,DEZ!#REF!,DEZ!#REF!,DEZ!#REF!,DEZ!#REF!,DEZ!#REF!,DEZ!#REF!,DEZ!#REF!</definedName>
    <definedName name="ftFormula" comment="Formeln zur Ermittlung der Feiertage" localSheetId="10" hidden="1">FEB!#REF!,FEB!#REF!,FEB!#REF!,FEB!#REF!,FEB!#REF!,FEB!#REF!,FEB!#REF!,FEB!#REF!,FEB!#REF!,FEB!#REF!,FEB!#REF!,FEB!#REF!</definedName>
    <definedName name="ftFormula" comment="Formeln zur Ermittlung der Feiertage" localSheetId="21" hidden="1">Jahresauswertung!$C$21:$AG$21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ftFormula" comment="Formeln zur Ermittlung der Feiertage" localSheetId="9" hidden="1">JAN!#REF!,JAN!#REF!,JAN!#REF!,JAN!#REF!,JAN!#REF!,JAN!#REF!,JAN!#REF!,JAN!#REF!,JAN!#REF!,JAN!#REF!,JAN!#REF!,JAN!#REF!</definedName>
    <definedName name="ftFormula" comment="Formeln zur Ermittlung der Feiertage" localSheetId="15" hidden="1">JUL!#REF!,JUL!#REF!,JUL!#REF!,JUL!#REF!,JUL!#REF!,JUL!#REF!,JUL!#REF!,JUL!#REF!,JUL!#REF!,JUL!#REF!,JUL!#REF!,JUL!#REF!</definedName>
    <definedName name="ftFormula" comment="Formeln zur Ermittlung der Feiertage" localSheetId="14" hidden="1">JUN!#REF!,JUN!#REF!,JUN!#REF!,JUN!#REF!,JUN!#REF!,JUN!#REF!,JUN!#REF!,JUN!#REF!,JUN!#REF!,JUN!#REF!,JUN!#REF!,JUN!#REF!</definedName>
    <definedName name="ftFormula" comment="Formeln zur Ermittlung der Feiertage" localSheetId="13" hidden="1">MAI!#REF!,MAI!#REF!,MAI!#REF!,MAI!#REF!,MAI!#REF!,MAI!#REF!,MAI!#REF!,MAI!#REF!,MAI!#REF!,MAI!#REF!,MAI!#REF!,MAI!#REF!</definedName>
    <definedName name="ftFormula" comment="Formeln zur Ermittlung der Feiertage" localSheetId="11" hidden="1">MRZ!#REF!,MRZ!#REF!,MRZ!#REF!,MRZ!#REF!,MRZ!#REF!,MRZ!#REF!,MRZ!#REF!,MRZ!#REF!,MRZ!#REF!,MRZ!#REF!,MRZ!#REF!,MRZ!#REF!</definedName>
    <definedName name="ftFormula" comment="Formeln zur Ermittlung der Feiertage" localSheetId="19" hidden="1">NOV!#REF!,NOV!#REF!,NOV!#REF!,NOV!#REF!,NOV!#REF!,NOV!#REF!,NOV!#REF!,NOV!#REF!,NOV!#REF!,NOV!#REF!,NOV!#REF!,NOV!#REF!</definedName>
    <definedName name="ftFormula" comment="Formeln zur Ermittlung der Feiertage" localSheetId="18" hidden="1">OKT!#REF!,OKT!#REF!,OKT!#REF!,OKT!#REF!,OKT!#REF!,OKT!#REF!,OKT!#REF!,OKT!#REF!,OKT!#REF!,OKT!#REF!,OKT!#REF!,OKT!#REF!</definedName>
    <definedName name="ftFormula" comment="Formeln zur Ermittlung der Feiertage" localSheetId="17" hidden="1">SEP!#REF!,SEP!#REF!,SEP!#REF!,SEP!#REF!,SEP!#REF!,SEP!#REF!,SEP!#REF!,SEP!#REF!,SEP!#REF!,SEP!#REF!,SEP!#REF!,SEP!#REF!</definedName>
    <definedName name="H_dFT">H_Calendar!$K$10:$K$375</definedName>
    <definedName name="H_dHelperMnt">H_KW!$F$10:$BH$10</definedName>
    <definedName name="H_dKW">H_Calendar!$G$10:$G$375</definedName>
    <definedName name="h_dKW1">H_KW!$F$11:$BH$11</definedName>
    <definedName name="H_dKWZ1w">H_KW!$F$20:$BH$20</definedName>
    <definedName name="H_dMnt">H_Calendar!$E$10:$E$375</definedName>
    <definedName name="H_dMNTCurrentSaldo">H_MNT!$J$96:$U$96</definedName>
    <definedName name="H_dProdToz">H_Calendar!$X$10:$X$375</definedName>
    <definedName name="h_dProdWoz">H_KW!$F$18:$BH$18</definedName>
    <definedName name="H_dSoll100">H_Calendar!$P$10:$P$375</definedName>
    <definedName name="H_dSollBG">H_Calendar!$R$10:$R$375</definedName>
    <definedName name="h_fldAnZFT">H_MNT!$V$171</definedName>
    <definedName name="H_fldFerienCalc">H_Basis!$O$22</definedName>
    <definedName name="H_fldFerienEndSaldo">H_MNT!$W$182</definedName>
    <definedName name="H_fldFerienSaldoKORR">H_MNT!$W$180</definedName>
    <definedName name="H_fldFerienStartsaldo">H_MNT!$I$182</definedName>
    <definedName name="H_tblBG">H_Basis!$E$33:$I$44</definedName>
    <definedName name="H_tblBGavg">H_Basis!$D$33:$D$44</definedName>
    <definedName name="H_tblBGMnt">H_Basis!$B$33:$B$44</definedName>
    <definedName name="H_tblBGTage">H_Basis!$E$46:$I$46</definedName>
    <definedName name="hoursPerDay" localSheetId="12" hidden="1">APR!#REF!</definedName>
    <definedName name="hoursPerDay" localSheetId="16" hidden="1">AUG!#REF!</definedName>
    <definedName name="hoursPerDay" localSheetId="20" hidden="1">DEZ!#REF!</definedName>
    <definedName name="hoursPerDay" localSheetId="10" hidden="1">FEB!#REF!</definedName>
    <definedName name="hoursPerDay" localSheetId="21" hidden="1">Jahresauswertung!$K$4</definedName>
    <definedName name="hoursPerDay" localSheetId="9" hidden="1">JAN!#REF!</definedName>
    <definedName name="hoursPerDay" localSheetId="15" hidden="1">JUL!#REF!</definedName>
    <definedName name="hoursPerDay" localSheetId="14" hidden="1">JUN!#REF!</definedName>
    <definedName name="hoursPerDay" localSheetId="13" hidden="1">MAI!#REF!</definedName>
    <definedName name="hoursPerDay" localSheetId="11" hidden="1">MRZ!#REF!</definedName>
    <definedName name="hoursPerDay" localSheetId="19" hidden="1">NOV!#REF!</definedName>
    <definedName name="hoursPerDay" localSheetId="18" hidden="1">OKT!#REF!</definedName>
    <definedName name="hoursPerDay" localSheetId="17" hidden="1">SEP!#REF!</definedName>
    <definedName name="istSchaltjahr" localSheetId="12" hidden="1">APR!#REF!</definedName>
    <definedName name="istSchaltjahr" localSheetId="16" hidden="1">AUG!#REF!</definedName>
    <definedName name="istSchaltjahr" localSheetId="20" hidden="1">DEZ!#REF!</definedName>
    <definedName name="istSchaltjahr" localSheetId="10" hidden="1">FEB!#REF!</definedName>
    <definedName name="istSchaltjahr" localSheetId="21" hidden="1">Jahresauswertung!$AQ$37</definedName>
    <definedName name="istSchaltjahr" localSheetId="9" hidden="1">JAN!#REF!</definedName>
    <definedName name="istSchaltjahr" localSheetId="15" hidden="1">JUL!#REF!</definedName>
    <definedName name="istSchaltjahr" localSheetId="14" hidden="1">JUN!#REF!</definedName>
    <definedName name="istSchaltjahr" localSheetId="13" hidden="1">MAI!#REF!</definedName>
    <definedName name="istSchaltjahr" localSheetId="11" hidden="1">MRZ!#REF!</definedName>
    <definedName name="istSchaltjahr" localSheetId="19" hidden="1">NOV!#REF!</definedName>
    <definedName name="istSchaltjahr" localSheetId="18" hidden="1">OKT!#REF!</definedName>
    <definedName name="istSchaltjahr" localSheetId="17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2" hidden="1">#REF!</definedName>
    <definedName name="languages" localSheetId="16" hidden="1">#REF!</definedName>
    <definedName name="languages" localSheetId="20" hidden="1">#REF!</definedName>
    <definedName name="languages" localSheetId="10" hidden="1">#REF!</definedName>
    <definedName name="languages" localSheetId="21" hidden="1">#REF!</definedName>
    <definedName name="languages" localSheetId="9" hidden="1">#REF!</definedName>
    <definedName name="languages" localSheetId="15" hidden="1">#REF!</definedName>
    <definedName name="languages" localSheetId="14" hidden="1">#REF!</definedName>
    <definedName name="languages" localSheetId="13" hidden="1">#REF!</definedName>
    <definedName name="languages" localSheetId="11" hidden="1">#REF!</definedName>
    <definedName name="languages" localSheetId="19" hidden="1">#REF!</definedName>
    <definedName name="languages" localSheetId="18" hidden="1">#REF!</definedName>
    <definedName name="languages" localSheetId="17" hidden="1">#REF!</definedName>
    <definedName name="M_Ausschluss" localSheetId="12">APR!$F$51:$AJ$51</definedName>
    <definedName name="M_Ausschluss" localSheetId="16">AUG!$F$51:$AJ$51</definedName>
    <definedName name="M_Ausschluss" localSheetId="20">DEZ!$F$51:$AJ$51</definedName>
    <definedName name="M_Ausschluss" localSheetId="10">FEB!$F$51:$AJ$51</definedName>
    <definedName name="M_Ausschluss" localSheetId="9">JAN!$F$51:$AJ$51</definedName>
    <definedName name="M_Ausschluss" localSheetId="15">JUL!$F$51:$AJ$51</definedName>
    <definedName name="M_Ausschluss" localSheetId="14">JUN!$F$51:$AJ$51</definedName>
    <definedName name="M_Ausschluss" localSheetId="13">MAI!$F$51:$AJ$51</definedName>
    <definedName name="M_Ausschluss" localSheetId="11">MRZ!$F$51:$AJ$51</definedName>
    <definedName name="M_Ausschluss" localSheetId="19">NOV!$F$51:$AJ$51</definedName>
    <definedName name="M_Ausschluss" localSheetId="18">OKT!$F$51:$AJ$51</definedName>
    <definedName name="M_Ausschluss" localSheetId="17">SEP!$F$51:$AJ$51</definedName>
    <definedName name="M_Daten" localSheetId="12">APR!$F$18:$AJ$18</definedName>
    <definedName name="M_Daten" localSheetId="16">AUG!$F$18:$AJ$18</definedName>
    <definedName name="M_Daten" localSheetId="20">DEZ!$F$18:$AJ$18</definedName>
    <definedName name="M_Daten" localSheetId="10">FEB!$F$18:$AJ$18</definedName>
    <definedName name="M_Daten" localSheetId="9">JAN!$F$18:$AJ$18</definedName>
    <definedName name="M_Daten" localSheetId="15">JUL!$F$18:$AJ$18</definedName>
    <definedName name="M_Daten" localSheetId="14">JUN!$F$18:$AJ$18</definedName>
    <definedName name="M_Daten" localSheetId="13">MAI!$F$18:$AJ$18</definedName>
    <definedName name="M_Daten" localSheetId="11">MRZ!$F$18:$AJ$18</definedName>
    <definedName name="M_Daten" localSheetId="19">NOV!$F$18:$AJ$18</definedName>
    <definedName name="M_Daten" localSheetId="18">OKT!$F$18:$AJ$18</definedName>
    <definedName name="M_Daten" localSheetId="17">SEP!$F$18:$AJ$18</definedName>
    <definedName name="M_MntKontrolle" localSheetId="12">APR!$F$14:$AJ$14</definedName>
    <definedName name="M_MntKontrolle" localSheetId="16">AUG!$F$14:$AJ$14</definedName>
    <definedName name="M_MntKontrolle" localSheetId="20">DEZ!$F$14:$AJ$14</definedName>
    <definedName name="M_MntKontrolle" localSheetId="10">FEB!$F$14:$AJ$14</definedName>
    <definedName name="M_MntKontrolle" localSheetId="9">JAN!$F$14:$AJ$14</definedName>
    <definedName name="M_MntKontrolle" localSheetId="15">JUL!$F$14:$AJ$14</definedName>
    <definedName name="M_MntKontrolle" localSheetId="14">JUN!$F$14:$AJ$14</definedName>
    <definedName name="M_MntKontrolle" localSheetId="13">MAI!$F$14:$AJ$14</definedName>
    <definedName name="M_MntKontrolle" localSheetId="11">MRZ!$F$14:$AJ$14</definedName>
    <definedName name="M_MntKontrolle" localSheetId="19">NOV!$F$14:$AJ$14</definedName>
    <definedName name="M_MntKontrolle" localSheetId="18">OKT!$F$14:$AJ$14</definedName>
    <definedName name="M_MntKontrolle" localSheetId="17">SEP!$F$14:$AJ$14</definedName>
    <definedName name="M_Monat" localSheetId="12">APR!$AM$13</definedName>
    <definedName name="M_Monat" localSheetId="16">AUG!$AM$13</definedName>
    <definedName name="M_Monat" localSheetId="20">DEZ!$AM$13</definedName>
    <definedName name="M_Monat" localSheetId="10">FEB!$AM$13</definedName>
    <definedName name="M_Monat" localSheetId="9">JAN!$AM$13</definedName>
    <definedName name="M_Monat" localSheetId="15">JUL!$AM$13</definedName>
    <definedName name="M_Monat" localSheetId="14">JUN!$AM$13</definedName>
    <definedName name="M_Monat" localSheetId="13">MAI!$AM$13</definedName>
    <definedName name="M_Monat" localSheetId="11">MRZ!$AM$13</definedName>
    <definedName name="M_Monat" localSheetId="19">NOV!$AM$13</definedName>
    <definedName name="M_Monat" localSheetId="18">OKT!$AM$13</definedName>
    <definedName name="M_Monat" localSheetId="17">SEP!$AM$13</definedName>
    <definedName name="M_ProdN1" localSheetId="12">APR!$F$23:$AJ$23</definedName>
    <definedName name="M_ProdN1" localSheetId="16">AUG!$F$23:$AJ$23</definedName>
    <definedName name="M_ProdN1" localSheetId="20">DEZ!$F$23:$AJ$23</definedName>
    <definedName name="M_ProdN1" localSheetId="10">FEB!$F$23:$AJ$23</definedName>
    <definedName name="M_ProdN1" localSheetId="9">JAN!$F$23:$AJ$23</definedName>
    <definedName name="M_ProdN1" localSheetId="15">JUL!$F$23:$AJ$23</definedName>
    <definedName name="M_ProdN1" localSheetId="14">JUN!$F$23:$AJ$23</definedName>
    <definedName name="M_ProdN1" localSheetId="13">MAI!$F$23:$AJ$23</definedName>
    <definedName name="M_ProdN1" localSheetId="11">MRZ!$F$23:$AJ$23</definedName>
    <definedName name="M_ProdN1" localSheetId="19">NOV!$F$23:$AJ$23</definedName>
    <definedName name="M_ProdN1" localSheetId="18">OKT!$F$23:$AJ$23</definedName>
    <definedName name="M_ProdN1" localSheetId="17">SEP!$F$23:$AJ$23</definedName>
    <definedName name="M_ProdN2" localSheetId="12">APR!$F$25:$AJ$25</definedName>
    <definedName name="M_ProdN2" localSheetId="16">AUG!$F$25:$AJ$25</definedName>
    <definedName name="M_ProdN2" localSheetId="20">DEZ!$F$25:$AJ$25</definedName>
    <definedName name="M_ProdN2" localSheetId="10">FEB!$F$25:$AJ$25</definedName>
    <definedName name="M_ProdN2" localSheetId="9">JAN!$F$25:$AJ$25</definedName>
    <definedName name="M_ProdN2" localSheetId="15">JUL!$F$25:$AJ$25</definedName>
    <definedName name="M_ProdN2" localSheetId="14">JUN!$F$25:$AJ$25</definedName>
    <definedName name="M_ProdN2" localSheetId="13">MAI!$F$25:$AJ$25</definedName>
    <definedName name="M_ProdN2" localSheetId="11">MRZ!$F$25:$AJ$25</definedName>
    <definedName name="M_ProdN2" localSheetId="19">NOV!$F$25:$AJ$25</definedName>
    <definedName name="M_ProdN2" localSheetId="18">OKT!$F$25:$AJ$25</definedName>
    <definedName name="M_ProdN2" localSheetId="17">SEP!$F$25:$AJ$25</definedName>
    <definedName name="M_ProdTag" localSheetId="12">APR!$F$24:$AJ$24</definedName>
    <definedName name="M_ProdTag" localSheetId="16">AUG!$F$24:$AJ$24</definedName>
    <definedName name="M_ProdTag" localSheetId="20">DEZ!$F$24:$AJ$24</definedName>
    <definedName name="M_ProdTag" localSheetId="10">FEB!$F$24:$AJ$24</definedName>
    <definedName name="M_ProdTag" localSheetId="9">JAN!$F$24:$AJ$24</definedName>
    <definedName name="M_ProdTag" localSheetId="15">JUL!$F$24:$AJ$24</definedName>
    <definedName name="M_ProdTag" localSheetId="14">JUN!$F$24:$AJ$24</definedName>
    <definedName name="M_ProdTag" localSheetId="13">MAI!$F$24:$AJ$24</definedName>
    <definedName name="M_ProdTag" localSheetId="11">MRZ!$F$24:$AJ$24</definedName>
    <definedName name="M_ProdTag" localSheetId="19">NOV!$F$24:$AJ$24</definedName>
    <definedName name="M_ProdTag" localSheetId="18">OKT!$F$24:$AJ$24</definedName>
    <definedName name="M_ProdTag" localSheetId="17">SEP!$F$24:$AJ$24</definedName>
    <definedName name="M_ProdTag">#REF!</definedName>
    <definedName name="M_Verweisspalte" localSheetId="12">APR!$C$23:$C$51</definedName>
    <definedName name="M_Verweisspalte" localSheetId="16">AUG!$C$23:$C$51</definedName>
    <definedName name="M_Verweisspalte" localSheetId="20">DEZ!$C$23:$C$51</definedName>
    <definedName name="M_Verweisspalte" localSheetId="10">FEB!$C$23:$C$51</definedName>
    <definedName name="M_Verweisspalte" localSheetId="9">JAN!$C$23:$C$51</definedName>
    <definedName name="M_Verweisspalte" localSheetId="15">JUL!$C$23:$C$51</definedName>
    <definedName name="M_Verweisspalte" localSheetId="14">JUN!$C$23:$C$51</definedName>
    <definedName name="M_Verweisspalte" localSheetId="13">MAI!$C$23:$C$51</definedName>
    <definedName name="M_Verweisspalte" localSheetId="11">MRZ!$C$23:$C$51</definedName>
    <definedName name="M_Verweisspalte" localSheetId="19">NOV!$C$23:$C$51</definedName>
    <definedName name="M_Verweisspalte" localSheetId="18">OKT!$C$23:$C$51</definedName>
    <definedName name="M_Verweisspalte" localSheetId="17">SEP!$C$23:$C$51</definedName>
    <definedName name="M_Verweiszeile" localSheetId="12">APR!$F$13:$AJ$13</definedName>
    <definedName name="M_Verweiszeile" localSheetId="16">AUG!$F$13:$AJ$13</definedName>
    <definedName name="M_Verweiszeile" localSheetId="20">DEZ!$F$13:$AJ$13</definedName>
    <definedName name="M_Verweiszeile" localSheetId="10">FEB!$F$13:$AJ$13</definedName>
    <definedName name="M_Verweiszeile" localSheetId="9">JAN!$F$13:$AJ$13</definedName>
    <definedName name="M_Verweiszeile" localSheetId="15">JUL!$F$13:$AJ$13</definedName>
    <definedName name="M_Verweiszeile" localSheetId="14">JUN!$F$13:$AJ$13</definedName>
    <definedName name="M_Verweiszeile" localSheetId="13">MAI!$F$13:$AJ$13</definedName>
    <definedName name="M_Verweiszeile" localSheetId="11">MRZ!$F$13:$AJ$13</definedName>
    <definedName name="M_Verweiszeile" localSheetId="19">NOV!$F$13:$AJ$13</definedName>
    <definedName name="M_Verweiszeile" localSheetId="18">OKT!$F$13:$AJ$13</definedName>
    <definedName name="M_Verweiszeile" localSheetId="17">SEP!$F$13:$AJ$13</definedName>
    <definedName name="maxHoursPerWeek" localSheetId="12" hidden="1">APR!#REF!</definedName>
    <definedName name="maxHoursPerWeek" localSheetId="16" hidden="1">AUG!#REF!</definedName>
    <definedName name="maxHoursPerWeek" localSheetId="20" hidden="1">DEZ!#REF!</definedName>
    <definedName name="maxHoursPerWeek" localSheetId="10" hidden="1">FEB!#REF!</definedName>
    <definedName name="maxHoursPerWeek" localSheetId="21" hidden="1">Jahresauswertung!$C$4</definedName>
    <definedName name="maxHoursPerWeek" localSheetId="9" hidden="1">JAN!#REF!</definedName>
    <definedName name="maxHoursPerWeek" localSheetId="15" hidden="1">JUL!#REF!</definedName>
    <definedName name="maxHoursPerWeek" localSheetId="14" hidden="1">JUN!#REF!</definedName>
    <definedName name="maxHoursPerWeek" localSheetId="13" hidden="1">MAI!#REF!</definedName>
    <definedName name="maxHoursPerWeek" localSheetId="11" hidden="1">MRZ!#REF!</definedName>
    <definedName name="maxHoursPerWeek" localSheetId="19" hidden="1">NOV!#REF!</definedName>
    <definedName name="maxHoursPerWeek" localSheetId="18" hidden="1">OKT!#REF!</definedName>
    <definedName name="maxHoursPerWeek" localSheetId="17" hidden="1">SEP!#REF!</definedName>
    <definedName name="newCalendarCN" comment="neuer Kalender, intern" localSheetId="12" hidden="1">APR!#REF!</definedName>
    <definedName name="newCalendarCN" comment="neuer Kalender, intern" localSheetId="16" hidden="1">AUG!#REF!</definedName>
    <definedName name="newCalendarCN" comment="neuer Kalender, intern" localSheetId="20" hidden="1">DEZ!#REF!</definedName>
    <definedName name="newCalendarCN" comment="neuer Kalender, intern" localSheetId="10" hidden="1">FEB!#REF!</definedName>
    <definedName name="newCalendarCN" comment="neuer Kalender, intern" localSheetId="21" hidden="1">Jahresauswertung!$AL$48</definedName>
    <definedName name="newCalendarCN" comment="neuer Kalender, intern" localSheetId="9" hidden="1">JAN!#REF!</definedName>
    <definedName name="newCalendarCN" comment="neuer Kalender, intern" localSheetId="15" hidden="1">JUL!#REF!</definedName>
    <definedName name="newCalendarCN" comment="neuer Kalender, intern" localSheetId="14" hidden="1">JUN!#REF!</definedName>
    <definedName name="newCalendarCN" comment="neuer Kalender, intern" localSheetId="13" hidden="1">MAI!#REF!</definedName>
    <definedName name="newCalendarCN" comment="neuer Kalender, intern" localSheetId="11" hidden="1">MRZ!#REF!</definedName>
    <definedName name="newCalendarCN" comment="neuer Kalender, intern" localSheetId="19" hidden="1">NOV!#REF!</definedName>
    <definedName name="newCalendarCN" comment="neuer Kalender, intern" localSheetId="18" hidden="1">OKT!#REF!</definedName>
    <definedName name="newCalendarCN" comment="neuer Kalender, intern" localSheetId="17" hidden="1">SEP!#REF!</definedName>
    <definedName name="newCalendarN" comment="neuer Kalender" localSheetId="12" hidden="1">APR!#REF!</definedName>
    <definedName name="newCalendarN" comment="neuer Kalender" localSheetId="16" hidden="1">AUG!#REF!</definedName>
    <definedName name="newCalendarN" comment="neuer Kalender" localSheetId="20" hidden="1">DEZ!#REF!</definedName>
    <definedName name="newCalendarN" comment="neuer Kalender" localSheetId="10" hidden="1">FEB!#REF!</definedName>
    <definedName name="newCalendarN" comment="neuer Kalender" localSheetId="21" hidden="1">Jahresauswertung!$AR$48</definedName>
    <definedName name="newCalendarN" comment="neuer Kalender" localSheetId="9" hidden="1">JAN!#REF!</definedName>
    <definedName name="newCalendarN" comment="neuer Kalender" localSheetId="15" hidden="1">JUL!#REF!</definedName>
    <definedName name="newCalendarN" comment="neuer Kalender" localSheetId="14" hidden="1">JUN!#REF!</definedName>
    <definedName name="newCalendarN" comment="neuer Kalender" localSheetId="13" hidden="1">MAI!#REF!</definedName>
    <definedName name="newCalendarN" comment="neuer Kalender" localSheetId="11" hidden="1">MRZ!#REF!</definedName>
    <definedName name="newCalendarN" comment="neuer Kalender" localSheetId="19" hidden="1">NOV!#REF!</definedName>
    <definedName name="newCalendarN" comment="neuer Kalender" localSheetId="18" hidden="1">OKT!#REF!</definedName>
    <definedName name="newCalendarN" comment="neuer Kalender" localSheetId="17" hidden="1">SEP!#REF!</definedName>
    <definedName name="oldCalendarCN" comment="alter Kalender intern" localSheetId="12" hidden="1">APR!#REF!</definedName>
    <definedName name="oldCalendarCN" comment="alter Kalender intern" localSheetId="16" hidden="1">AUG!#REF!</definedName>
    <definedName name="oldCalendarCN" comment="alter Kalender intern" localSheetId="20" hidden="1">DEZ!#REF!</definedName>
    <definedName name="oldCalendarCN" comment="alter Kalender intern" localSheetId="10" hidden="1">FEB!#REF!</definedName>
    <definedName name="oldCalendarCN" comment="alter Kalender intern" localSheetId="21" hidden="1">Jahresauswertung!#REF!</definedName>
    <definedName name="oldCalendarCN" comment="alter Kalender intern" localSheetId="9" hidden="1">JAN!#REF!</definedName>
    <definedName name="oldCalendarCN" comment="alter Kalender intern" localSheetId="15" hidden="1">JUL!#REF!</definedName>
    <definedName name="oldCalendarCN" comment="alter Kalender intern" localSheetId="14" hidden="1">JUN!#REF!</definedName>
    <definedName name="oldCalendarCN" comment="alter Kalender intern" localSheetId="13" hidden="1">MAI!#REF!</definedName>
    <definedName name="oldCalendarCN" comment="alter Kalender intern" localSheetId="11" hidden="1">MRZ!#REF!</definedName>
    <definedName name="oldCalendarCN" comment="alter Kalender intern" localSheetId="19" hidden="1">NOV!#REF!</definedName>
    <definedName name="oldCalendarCN" comment="alter Kalender intern" localSheetId="18" hidden="1">OKT!#REF!</definedName>
    <definedName name="oldCalendarCN" comment="alter Kalender intern" localSheetId="17" hidden="1">SEP!#REF!</definedName>
    <definedName name="oldCalendarN" comment="alter Kalender" localSheetId="12" hidden="1">APR!#REF!</definedName>
    <definedName name="oldCalendarN" comment="alter Kalender" localSheetId="16" hidden="1">AUG!#REF!</definedName>
    <definedName name="oldCalendarN" comment="alter Kalender" localSheetId="20" hidden="1">DEZ!#REF!</definedName>
    <definedName name="oldCalendarN" comment="alter Kalender" localSheetId="10" hidden="1">FEB!#REF!</definedName>
    <definedName name="oldCalendarN" comment="alter Kalender" localSheetId="21" hidden="1">Jahresauswertung!#REF!</definedName>
    <definedName name="oldCalendarN" comment="alter Kalender" localSheetId="9" hidden="1">JAN!#REF!</definedName>
    <definedName name="oldCalendarN" comment="alter Kalender" localSheetId="15" hidden="1">JUL!#REF!</definedName>
    <definedName name="oldCalendarN" comment="alter Kalender" localSheetId="14" hidden="1">JUN!#REF!</definedName>
    <definedName name="oldCalendarN" comment="alter Kalender" localSheetId="13" hidden="1">MAI!#REF!</definedName>
    <definedName name="oldCalendarN" comment="alter Kalender" localSheetId="11" hidden="1">MRZ!#REF!</definedName>
    <definedName name="oldCalendarN" comment="alter Kalender" localSheetId="19" hidden="1">NOV!#REF!</definedName>
    <definedName name="oldCalendarN" comment="alter Kalender" localSheetId="18" hidden="1">OKT!#REF!</definedName>
    <definedName name="oldCalendarN" comment="alter Kalender" localSheetId="17" hidden="1">SEP!#REF!</definedName>
    <definedName name="selectedLanguage">H_Label!$B$13</definedName>
    <definedName name="ServiceArea" comment="Konfig- &amp; Service Bereich" localSheetId="12" hidden="1">APR!#REF!</definedName>
    <definedName name="ServiceArea" comment="Konfig- &amp; Service Bereich" localSheetId="16" hidden="1">AUG!#REF!</definedName>
    <definedName name="ServiceArea" comment="Konfig- &amp; Service Bereich" localSheetId="20" hidden="1">DEZ!#REF!</definedName>
    <definedName name="ServiceArea" comment="Konfig- &amp; Service Bereich" localSheetId="10" hidden="1">FEB!#REF!</definedName>
    <definedName name="ServiceArea" comment="Konfig- &amp; Service Bereich" localSheetId="21" hidden="1">Jahresauswertung!$AH:$BJ</definedName>
    <definedName name="ServiceArea" comment="Konfig- &amp; Service Bereich" localSheetId="9" hidden="1">JAN!#REF!</definedName>
    <definedName name="ServiceArea" comment="Konfig- &amp; Service Bereich" localSheetId="15" hidden="1">JUL!#REF!</definedName>
    <definedName name="ServiceArea" comment="Konfig- &amp; Service Bereich" localSheetId="14" hidden="1">JUN!#REF!</definedName>
    <definedName name="ServiceArea" comment="Konfig- &amp; Service Bereich" localSheetId="13" hidden="1">MAI!#REF!</definedName>
    <definedName name="ServiceArea" comment="Konfig- &amp; Service Bereich" localSheetId="11" hidden="1">MRZ!#REF!</definedName>
    <definedName name="ServiceArea" comment="Konfig- &amp; Service Bereich" localSheetId="19" hidden="1">NOV!#REF!</definedName>
    <definedName name="ServiceArea" comment="Konfig- &amp; Service Bereich" localSheetId="18" hidden="1">OKT!#REF!</definedName>
    <definedName name="ServiceArea" comment="Konfig- &amp; Service Bereich" localSheetId="17" hidden="1">SEP!#REF!</definedName>
    <definedName name="tagespensen" comment="Pensum pro Wochentag (für Pensumskonfiguration im Expertenmodus)" localSheetId="12" hidden="1">APR!#REF!</definedName>
    <definedName name="tagespensen" comment="Pensum pro Wochentag (für Pensumskonfiguration im Expertenmodus)" localSheetId="16" hidden="1">AUG!#REF!</definedName>
    <definedName name="tagespensen" comment="Pensum pro Wochentag (für Pensumskonfiguration im Expertenmodus)" localSheetId="20" hidden="1">DEZ!#REF!</definedName>
    <definedName name="tagespensen" comment="Pensum pro Wochentag (für Pensumskonfiguration im Expertenmodus)" localSheetId="10" hidden="1">FEB!#REF!</definedName>
    <definedName name="tagespensen" comment="Pensum pro Wochentag (für Pensumskonfiguration im Expertenmodus)" localSheetId="21" hidden="1">Jahresauswertung!#REF!</definedName>
    <definedName name="tagespensen" comment="Pensum pro Wochentag (für Pensumskonfiguration im Expertenmodus)" localSheetId="9" hidden="1">JAN!#REF!</definedName>
    <definedName name="tagespensen" comment="Pensum pro Wochentag (für Pensumskonfiguration im Expertenmodus)" localSheetId="15" hidden="1">JUL!#REF!</definedName>
    <definedName name="tagespensen" comment="Pensum pro Wochentag (für Pensumskonfiguration im Expertenmodus)" localSheetId="14" hidden="1">JUN!#REF!</definedName>
    <definedName name="tagespensen" comment="Pensum pro Wochentag (für Pensumskonfiguration im Expertenmodus)" localSheetId="13" hidden="1">MAI!#REF!</definedName>
    <definedName name="tagespensen" comment="Pensum pro Wochentag (für Pensumskonfiguration im Expertenmodus)" localSheetId="11" hidden="1">MRZ!#REF!</definedName>
    <definedName name="tagespensen" comment="Pensum pro Wochentag (für Pensumskonfiguration im Expertenmodus)" localSheetId="19" hidden="1">NOV!#REF!</definedName>
    <definedName name="tagespensen" comment="Pensum pro Wochentag (für Pensumskonfiguration im Expertenmodus)" localSheetId="18" hidden="1">OKT!#REF!</definedName>
    <definedName name="tagespensen" comment="Pensum pro Wochentag (für Pensumskonfiguration im Expertenmodus)" localSheetId="17" hidden="1">SEP!#REF!</definedName>
    <definedName name="timesheetYear" localSheetId="12" hidden="1">APR!#REF!</definedName>
    <definedName name="timesheetYear" localSheetId="16" hidden="1">AUG!#REF!</definedName>
    <definedName name="timesheetYear" localSheetId="20" hidden="1">DEZ!#REF!</definedName>
    <definedName name="timesheetYear" localSheetId="10" hidden="1">FEB!#REF!</definedName>
    <definedName name="timesheetYear" localSheetId="21" hidden="1">Jahresauswertung!$AH$2</definedName>
    <definedName name="timesheetYear" localSheetId="9" hidden="1">JAN!#REF!</definedName>
    <definedName name="timesheetYear" localSheetId="15" hidden="1">JUL!#REF!</definedName>
    <definedName name="timesheetYear" localSheetId="14" hidden="1">JUN!#REF!</definedName>
    <definedName name="timesheetYear" localSheetId="13" hidden="1">MAI!#REF!</definedName>
    <definedName name="timesheetYear" localSheetId="11" hidden="1">MRZ!#REF!</definedName>
    <definedName name="timesheetYear" localSheetId="19" hidden="1">NOV!#REF!</definedName>
    <definedName name="timesheetYear" localSheetId="18" hidden="1">OKT!#REF!</definedName>
    <definedName name="timesheetYear" localSheetId="17" hidden="1">SEP!#REF!</definedName>
    <definedName name="TSHilfszeilen" comment="Hilfszeilen, die in Produktivblatt ausgeblendet sind" localSheetId="12" hidden="1">APR!$11:$18,APR!$21:$21,APR!#REF!,APR!#REF!,APR!$76:$76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</definedName>
    <definedName name="TSHilfszeilen" comment="Hilfszeilen, die in Produktivblatt ausgeblendet sind" localSheetId="16" hidden="1">AUG!$11:$18,AUG!$21:$21,AUG!#REF!,AUG!#REF!,AUG!$76:$76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</definedName>
    <definedName name="TSHilfszeilen" comment="Hilfszeilen, die in Produktivblatt ausgeblendet sind" localSheetId="20" hidden="1">DEZ!$11:$18,DEZ!$21:$21,DEZ!#REF!,DEZ!#REF!,DEZ!$76:$76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</definedName>
    <definedName name="TSHilfszeilen" comment="Hilfszeilen, die in Produktivblatt ausgeblendet sind" localSheetId="10" hidden="1">FEB!$11:$18,FEB!$21:$21,FEB!#REF!,FEB!#REF!,FEB!$76:$76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</definedName>
    <definedName name="TSHilfszeilen" comment="Hilfszeilen, die in Produktivblatt ausgeblendet sind" localSheetId="21" hidden="1">Jahresauswertung!$9:$11,Jahresauswertung!$17:$17,Jahresauswertung!$23:$28,Jahresauswertung!$36:$40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TSHilfszeilen" comment="Hilfszeilen, die in Produktivblatt ausgeblendet sind" localSheetId="9" hidden="1">JAN!$11:$18,JAN!$21:$21,JAN!#REF!,JAN!#REF!,JAN!$76:$76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5" hidden="1">JUL!$11:$18,JUL!$21:$21,JUL!#REF!,JUL!#REF!,JUL!$76:$76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4" hidden="1">JUN!$11:$18,JUN!$21:$21,JUN!#REF!,JUN!#REF!,JUN!$76:$76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3" hidden="1">MAI!$11:$18,MAI!$21:$21,MAI!#REF!,MAI!#REF!,MAI!$76:$76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1" hidden="1">MRZ!$11:$18,MRZ!$21:$21,MRZ!#REF!,MRZ!#REF!,MRZ!$76:$76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</definedName>
    <definedName name="TSHilfszeilen" comment="Hilfszeilen, die in Produktivblatt ausgeblendet sind" localSheetId="19" hidden="1">NOV!$11:$18,NOV!$21:$21,NOV!#REF!,NOV!#REF!,NOV!$76:$76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8" hidden="1">OKT!$11:$18,OKT!$21:$21,OKT!#REF!,OKT!#REF!,OKT!$76:$76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</definedName>
    <definedName name="TSHilfszeilen" comment="Hilfszeilen, die in Produktivblatt ausgeblendet sind" localSheetId="17" hidden="1">SEP!$11:$18,SEP!$21:$21,SEP!#REF!,SEP!#REF!,SEP!$76:$76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2">APR!$8:$77</definedName>
    <definedName name="UserAreaAll" comment="Gesamter Eingabebereich für Arbeitszeitdaten JAN-DEZ (inkl. unprod. Std.)" localSheetId="16">AUG!$8:$77</definedName>
    <definedName name="UserAreaAll" comment="Gesamter Eingabebereich für Arbeitszeitdaten JAN-DEZ (inkl. unprod. Std.)" localSheetId="20">DEZ!$8:$77</definedName>
    <definedName name="UserAreaAll" comment="Gesamter Eingabebereich für Arbeitszeitdaten JAN-DEZ (inkl. unprod. Std.)" localSheetId="10">FEB!$8:$77</definedName>
    <definedName name="UserAreaAll" comment="Gesamter Eingabebereich für Arbeitszeitdaten JAN-DEZ (inkl. unprod. Std.)" localSheetId="21">Jahresauswertung!$6:$50</definedName>
    <definedName name="UserAreaAll" comment="Gesamter Eingabebereich für Arbeitszeitdaten JAN-DEZ (inkl. unprod. Std.)" localSheetId="9">JAN!$8:$77</definedName>
    <definedName name="UserAreaAll" comment="Gesamter Eingabebereich für Arbeitszeitdaten JAN-DEZ (inkl. unprod. Std.)" localSheetId="15">JUL!$8:$77</definedName>
    <definedName name="UserAreaAll" comment="Gesamter Eingabebereich für Arbeitszeitdaten JAN-DEZ (inkl. unprod. Std.)" localSheetId="14">JUN!$8:$77</definedName>
    <definedName name="UserAreaAll" comment="Gesamter Eingabebereich für Arbeitszeitdaten JAN-DEZ (inkl. unprod. Std.)" localSheetId="13">MAI!$8:$77</definedName>
    <definedName name="UserAreaAll" comment="Gesamter Eingabebereich für Arbeitszeitdaten JAN-DEZ (inkl. unprod. Std.)" localSheetId="11">MRZ!$8:$77</definedName>
    <definedName name="UserAreaAll" comment="Gesamter Eingabebereich für Arbeitszeitdaten JAN-DEZ (inkl. unprod. Std.)" localSheetId="19">NOV!$8:$77</definedName>
    <definedName name="UserAreaAll" comment="Gesamter Eingabebereich für Arbeitszeitdaten JAN-DEZ (inkl. unprod. Std.)" localSheetId="18">OKT!$8:$77</definedName>
    <definedName name="UserAreaAll" comment="Gesamter Eingabebereich für Arbeitszeitdaten JAN-DEZ (inkl. unprod. Std.)" localSheetId="17">SEP!$8:$77</definedName>
  </definedNames>
  <calcPr calcId="191028"/>
  <customWorkbookViews>
    <customWorkbookView name="absenzen" guid="{F5BF5DFB-87FE-4DF9-9E82-BEE316A1D433}" maximized="1" windowWidth="1916" windowHeight="855" tabRatio="883" activeSheetId="35"/>
    <customWorkbookView name="normal" guid="{AAA4D533-36AC-4D9A-85F4-EB15BCAB43D6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58" l="1"/>
  <c r="E440" i="28"/>
  <c r="E439" i="28"/>
  <c r="C440" i="28"/>
  <c r="C439" i="28"/>
  <c r="E179" i="28"/>
  <c r="C179" i="28"/>
  <c r="U218" i="145"/>
  <c r="T218" i="145"/>
  <c r="S218" i="145"/>
  <c r="R218" i="145"/>
  <c r="Q218" i="145"/>
  <c r="P218" i="145"/>
  <c r="O218" i="145"/>
  <c r="N218" i="145"/>
  <c r="M218" i="145"/>
  <c r="L218" i="145"/>
  <c r="K218" i="145"/>
  <c r="U217" i="145"/>
  <c r="T217" i="145"/>
  <c r="S217" i="145"/>
  <c r="R217" i="145"/>
  <c r="Q217" i="145"/>
  <c r="P217" i="145"/>
  <c r="O217" i="145"/>
  <c r="N217" i="145"/>
  <c r="M217" i="145"/>
  <c r="L217" i="145"/>
  <c r="K217" i="145"/>
  <c r="U206" i="145"/>
  <c r="T206" i="145"/>
  <c r="S206" i="145"/>
  <c r="R206" i="145"/>
  <c r="Q206" i="145"/>
  <c r="P206" i="145"/>
  <c r="O206" i="145"/>
  <c r="N206" i="145"/>
  <c r="M206" i="145"/>
  <c r="L206" i="145"/>
  <c r="K206" i="145"/>
  <c r="U205" i="145"/>
  <c r="T205" i="145"/>
  <c r="S205" i="145"/>
  <c r="R205" i="145"/>
  <c r="Q205" i="145"/>
  <c r="P205" i="145"/>
  <c r="O205" i="145"/>
  <c r="N205" i="145"/>
  <c r="M205" i="145"/>
  <c r="L205" i="145"/>
  <c r="K205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U191" i="145" a="1"/>
  <c r="U191" i="145" s="1"/>
  <c r="T191" i="145" a="1"/>
  <c r="T191" i="145" s="1"/>
  <c r="S191" i="145" a="1"/>
  <c r="S191" i="145" s="1"/>
  <c r="R191" i="145" a="1"/>
  <c r="R191" i="145" s="1"/>
  <c r="Q191" i="145" a="1"/>
  <c r="Q191" i="145" s="1"/>
  <c r="P191" i="145" a="1"/>
  <c r="P191" i="145" s="1"/>
  <c r="O191" i="145" a="1"/>
  <c r="O191" i="145" s="1"/>
  <c r="N191" i="145" a="1"/>
  <c r="N191" i="145" s="1"/>
  <c r="M191" i="145" a="1"/>
  <c r="M191" i="145" s="1"/>
  <c r="L191" i="145" a="1"/>
  <c r="L191" i="145" s="1"/>
  <c r="K191" i="145" a="1"/>
  <c r="K191" i="145" s="1"/>
  <c r="N190" i="145"/>
  <c r="U181" i="145"/>
  <c r="T181" i="145"/>
  <c r="S181" i="145"/>
  <c r="R181" i="145"/>
  <c r="Q181" i="145"/>
  <c r="P181" i="145"/>
  <c r="O181" i="145"/>
  <c r="N181" i="145"/>
  <c r="M181" i="145"/>
  <c r="L181" i="145"/>
  <c r="K181" i="145"/>
  <c r="U180" i="145"/>
  <c r="T180" i="145"/>
  <c r="S180" i="145"/>
  <c r="R180" i="145"/>
  <c r="Q180" i="145"/>
  <c r="P180" i="145"/>
  <c r="O180" i="145"/>
  <c r="N180" i="145"/>
  <c r="M180" i="145"/>
  <c r="L180" i="145"/>
  <c r="K180" i="145"/>
  <c r="U164" i="145"/>
  <c r="T164" i="145"/>
  <c r="S164" i="145"/>
  <c r="R164" i="145"/>
  <c r="Q164" i="145"/>
  <c r="P164" i="145"/>
  <c r="O164" i="145"/>
  <c r="N164" i="145"/>
  <c r="M164" i="145"/>
  <c r="L164" i="145"/>
  <c r="K164" i="145"/>
  <c r="U162" i="145"/>
  <c r="T162" i="145"/>
  <c r="S162" i="145"/>
  <c r="R162" i="145"/>
  <c r="Q162" i="145"/>
  <c r="P162" i="145"/>
  <c r="O162" i="145"/>
  <c r="N162" i="145"/>
  <c r="M162" i="145"/>
  <c r="L162" i="145"/>
  <c r="K162" i="145"/>
  <c r="K161" i="145"/>
  <c r="U24" i="145"/>
  <c r="T24" i="145"/>
  <c r="S24" i="145"/>
  <c r="R24" i="145"/>
  <c r="Q24" i="145"/>
  <c r="P24" i="145"/>
  <c r="O24" i="145"/>
  <c r="N24" i="145"/>
  <c r="M24" i="145"/>
  <c r="L24" i="145"/>
  <c r="K24" i="145"/>
  <c r="W375" i="143" a="1"/>
  <c r="W375" i="143" s="1"/>
  <c r="V375" i="143" a="1"/>
  <c r="V375" i="143" s="1"/>
  <c r="U375" i="143" a="1"/>
  <c r="U375" i="143" s="1"/>
  <c r="W374" i="143" a="1"/>
  <c r="W374" i="143" s="1"/>
  <c r="V374" i="143" a="1"/>
  <c r="V374" i="143" s="1"/>
  <c r="U374" i="143" a="1"/>
  <c r="U374" i="143" s="1"/>
  <c r="W373" i="143" a="1"/>
  <c r="W373" i="143" s="1"/>
  <c r="V373" i="143" a="1"/>
  <c r="V373" i="143" s="1"/>
  <c r="U373" i="143" a="1"/>
  <c r="U373" i="143" s="1"/>
  <c r="W372" i="143" a="1"/>
  <c r="W372" i="143" s="1"/>
  <c r="V372" i="143" a="1"/>
  <c r="V372" i="143" s="1"/>
  <c r="U372" i="143" a="1"/>
  <c r="U372" i="143" s="1"/>
  <c r="W371" i="143" a="1"/>
  <c r="W371" i="143" s="1"/>
  <c r="V371" i="143" a="1"/>
  <c r="V371" i="143" s="1"/>
  <c r="U371" i="143" a="1"/>
  <c r="U371" i="143" s="1"/>
  <c r="W370" i="143" a="1"/>
  <c r="W370" i="143" s="1"/>
  <c r="V370" i="143" a="1"/>
  <c r="V370" i="143" s="1"/>
  <c r="U370" i="143" a="1"/>
  <c r="U370" i="143" s="1"/>
  <c r="W369" i="143" a="1"/>
  <c r="W369" i="143" s="1"/>
  <c r="V369" i="143" a="1"/>
  <c r="V369" i="143" s="1"/>
  <c r="U369" i="143" a="1"/>
  <c r="U369" i="143" s="1"/>
  <c r="W368" i="143" a="1"/>
  <c r="W368" i="143" s="1"/>
  <c r="V368" i="143" a="1"/>
  <c r="V368" i="143" s="1"/>
  <c r="U368" i="143" a="1"/>
  <c r="U368" i="143" s="1"/>
  <c r="W367" i="143" a="1"/>
  <c r="W367" i="143" s="1"/>
  <c r="V367" i="143" a="1"/>
  <c r="V367" i="143" s="1"/>
  <c r="U367" i="143" a="1"/>
  <c r="U367" i="143" s="1"/>
  <c r="W366" i="143" a="1"/>
  <c r="W366" i="143" s="1"/>
  <c r="V366" i="143" a="1"/>
  <c r="V366" i="143" s="1"/>
  <c r="U366" i="143" a="1"/>
  <c r="U366" i="143" s="1"/>
  <c r="W365" i="143" a="1"/>
  <c r="W365" i="143" s="1"/>
  <c r="V365" i="143" a="1"/>
  <c r="V365" i="143" s="1"/>
  <c r="U365" i="143" a="1"/>
  <c r="U365" i="143" s="1"/>
  <c r="W364" i="143" a="1"/>
  <c r="W364" i="143" s="1"/>
  <c r="V364" i="143" a="1"/>
  <c r="V364" i="143" s="1"/>
  <c r="U364" i="143" a="1"/>
  <c r="U364" i="143" s="1"/>
  <c r="W363" i="143" a="1"/>
  <c r="W363" i="143" s="1"/>
  <c r="V363" i="143" a="1"/>
  <c r="V363" i="143" s="1"/>
  <c r="U363" i="143" a="1"/>
  <c r="U363" i="143" s="1"/>
  <c r="W362" i="143" a="1"/>
  <c r="W362" i="143" s="1"/>
  <c r="V362" i="143" a="1"/>
  <c r="V362" i="143" s="1"/>
  <c r="U362" i="143" a="1"/>
  <c r="U362" i="143" s="1"/>
  <c r="W361" i="143" a="1"/>
  <c r="W361" i="143" s="1"/>
  <c r="V361" i="143" a="1"/>
  <c r="V361" i="143" s="1"/>
  <c r="U361" i="143" a="1"/>
  <c r="U361" i="143" s="1"/>
  <c r="W360" i="143" a="1"/>
  <c r="W360" i="143" s="1"/>
  <c r="V360" i="143" a="1"/>
  <c r="V360" i="143" s="1"/>
  <c r="U360" i="143" a="1"/>
  <c r="U360" i="143" s="1"/>
  <c r="W359" i="143" a="1"/>
  <c r="W359" i="143" s="1"/>
  <c r="V359" i="143" a="1"/>
  <c r="V359" i="143" s="1"/>
  <c r="U359" i="143" a="1"/>
  <c r="U359" i="143" s="1"/>
  <c r="W358" i="143" a="1"/>
  <c r="W358" i="143" s="1"/>
  <c r="V358" i="143" a="1"/>
  <c r="V358" i="143" s="1"/>
  <c r="U358" i="143" a="1"/>
  <c r="U358" i="143" s="1"/>
  <c r="W357" i="143" a="1"/>
  <c r="W357" i="143" s="1"/>
  <c r="V357" i="143" a="1"/>
  <c r="V357" i="143" s="1"/>
  <c r="U357" i="143" a="1"/>
  <c r="U357" i="143" s="1"/>
  <c r="W356" i="143" a="1"/>
  <c r="W356" i="143" s="1"/>
  <c r="V356" i="143" a="1"/>
  <c r="V356" i="143" s="1"/>
  <c r="U356" i="143" a="1"/>
  <c r="U356" i="143" s="1"/>
  <c r="W355" i="143" a="1"/>
  <c r="W355" i="143" s="1"/>
  <c r="V355" i="143" a="1"/>
  <c r="V355" i="143" s="1"/>
  <c r="U355" i="143" a="1"/>
  <c r="U355" i="143" s="1"/>
  <c r="W354" i="143" a="1"/>
  <c r="W354" i="143" s="1"/>
  <c r="V354" i="143" a="1"/>
  <c r="V354" i="143" s="1"/>
  <c r="U354" i="143" a="1"/>
  <c r="U354" i="143" s="1"/>
  <c r="W353" i="143" a="1"/>
  <c r="W353" i="143" s="1"/>
  <c r="V353" i="143" a="1"/>
  <c r="V353" i="143" s="1"/>
  <c r="U353" i="143" a="1"/>
  <c r="U353" i="143" s="1"/>
  <c r="W352" i="143" a="1"/>
  <c r="W352" i="143" s="1"/>
  <c r="V352" i="143" a="1"/>
  <c r="V352" i="143" s="1"/>
  <c r="U352" i="143" a="1"/>
  <c r="U352" i="143" s="1"/>
  <c r="W351" i="143" a="1"/>
  <c r="W351" i="143" s="1"/>
  <c r="V351" i="143" a="1"/>
  <c r="V351" i="143" s="1"/>
  <c r="U351" i="143" a="1"/>
  <c r="U351" i="143" s="1"/>
  <c r="W350" i="143" a="1"/>
  <c r="W350" i="143" s="1"/>
  <c r="V350" i="143" a="1"/>
  <c r="V350" i="143" s="1"/>
  <c r="U350" i="143" a="1"/>
  <c r="U350" i="143" s="1"/>
  <c r="W349" i="143" a="1"/>
  <c r="W349" i="143" s="1"/>
  <c r="V349" i="143" a="1"/>
  <c r="V349" i="143" s="1"/>
  <c r="U349" i="143" a="1"/>
  <c r="U349" i="143" s="1"/>
  <c r="W348" i="143" a="1"/>
  <c r="W348" i="143" s="1"/>
  <c r="V348" i="143" a="1"/>
  <c r="V348" i="143" s="1"/>
  <c r="U348" i="143" a="1"/>
  <c r="U348" i="143" s="1"/>
  <c r="W347" i="143" a="1"/>
  <c r="W347" i="143" s="1"/>
  <c r="V347" i="143" a="1"/>
  <c r="V347" i="143" s="1"/>
  <c r="U347" i="143" a="1"/>
  <c r="U347" i="143" s="1"/>
  <c r="W346" i="143" a="1"/>
  <c r="W346" i="143" s="1"/>
  <c r="V346" i="143" a="1"/>
  <c r="V346" i="143" s="1"/>
  <c r="U346" i="143" a="1"/>
  <c r="U346" i="143" s="1"/>
  <c r="W345" i="143" a="1"/>
  <c r="W345" i="143" s="1"/>
  <c r="V345" i="143" a="1"/>
  <c r="V345" i="143" s="1"/>
  <c r="U345" i="143" a="1"/>
  <c r="U345" i="143" s="1"/>
  <c r="W344" i="143" a="1"/>
  <c r="W344" i="143" s="1"/>
  <c r="V344" i="143" a="1"/>
  <c r="V344" i="143" s="1"/>
  <c r="U344" i="143" a="1"/>
  <c r="U344" i="143" s="1"/>
  <c r="W343" i="143" a="1"/>
  <c r="W343" i="143" s="1"/>
  <c r="V343" i="143" a="1"/>
  <c r="V343" i="143" s="1"/>
  <c r="U343" i="143" a="1"/>
  <c r="U343" i="143" s="1"/>
  <c r="W342" i="143" a="1"/>
  <c r="W342" i="143" s="1"/>
  <c r="V342" i="143" a="1"/>
  <c r="V342" i="143" s="1"/>
  <c r="U342" i="143" a="1"/>
  <c r="U342" i="143" s="1"/>
  <c r="W341" i="143" a="1"/>
  <c r="W341" i="143" s="1"/>
  <c r="V341" i="143" a="1"/>
  <c r="V341" i="143" s="1"/>
  <c r="U341" i="143" a="1"/>
  <c r="U341" i="143" s="1"/>
  <c r="W340" i="143" a="1"/>
  <c r="W340" i="143" s="1"/>
  <c r="V340" i="143" a="1"/>
  <c r="V340" i="143" s="1"/>
  <c r="U340" i="143" a="1"/>
  <c r="U340" i="143" s="1"/>
  <c r="W339" i="143" a="1"/>
  <c r="W339" i="143" s="1"/>
  <c r="V339" i="143" a="1"/>
  <c r="V339" i="143" s="1"/>
  <c r="U339" i="143" a="1"/>
  <c r="U339" i="143" s="1"/>
  <c r="W338" i="143" a="1"/>
  <c r="W338" i="143" s="1"/>
  <c r="V338" i="143" a="1"/>
  <c r="V338" i="143" s="1"/>
  <c r="U338" i="143" a="1"/>
  <c r="U338" i="143" s="1"/>
  <c r="W337" i="143" a="1"/>
  <c r="W337" i="143" s="1"/>
  <c r="V337" i="143" a="1"/>
  <c r="V337" i="143" s="1"/>
  <c r="U337" i="143" a="1"/>
  <c r="U337" i="143" s="1"/>
  <c r="W336" i="143" a="1"/>
  <c r="W336" i="143" s="1"/>
  <c r="V336" i="143" a="1"/>
  <c r="V336" i="143" s="1"/>
  <c r="U336" i="143" a="1"/>
  <c r="U336" i="143" s="1"/>
  <c r="W335" i="143" a="1"/>
  <c r="W335" i="143" s="1"/>
  <c r="V335" i="143" a="1"/>
  <c r="V335" i="143" s="1"/>
  <c r="U335" i="143" a="1"/>
  <c r="U335" i="143" s="1"/>
  <c r="W334" i="143" a="1"/>
  <c r="W334" i="143" s="1"/>
  <c r="V334" i="143" a="1"/>
  <c r="V334" i="143" s="1"/>
  <c r="U334" i="143" a="1"/>
  <c r="U334" i="143" s="1"/>
  <c r="W333" i="143" a="1"/>
  <c r="W333" i="143" s="1"/>
  <c r="V333" i="143" a="1"/>
  <c r="V333" i="143" s="1"/>
  <c r="U333" i="143" a="1"/>
  <c r="U333" i="143" s="1"/>
  <c r="W332" i="143" a="1"/>
  <c r="W332" i="143" s="1"/>
  <c r="V332" i="143" a="1"/>
  <c r="V332" i="143" s="1"/>
  <c r="U332" i="143" a="1"/>
  <c r="U332" i="143" s="1"/>
  <c r="W331" i="143" a="1"/>
  <c r="W331" i="143" s="1"/>
  <c r="V331" i="143" a="1"/>
  <c r="V331" i="143" s="1"/>
  <c r="U331" i="143" a="1"/>
  <c r="U331" i="143" s="1"/>
  <c r="W330" i="143" a="1"/>
  <c r="W330" i="143" s="1"/>
  <c r="V330" i="143" a="1"/>
  <c r="V330" i="143" s="1"/>
  <c r="U330" i="143" a="1"/>
  <c r="U330" i="143" s="1"/>
  <c r="W329" i="143" a="1"/>
  <c r="W329" i="143" s="1"/>
  <c r="V329" i="143" a="1"/>
  <c r="V329" i="143" s="1"/>
  <c r="U329" i="143" a="1"/>
  <c r="U329" i="143" s="1"/>
  <c r="W328" i="143" a="1"/>
  <c r="W328" i="143" s="1"/>
  <c r="V328" i="143" a="1"/>
  <c r="V328" i="143" s="1"/>
  <c r="U328" i="143" a="1"/>
  <c r="U328" i="143" s="1"/>
  <c r="W327" i="143" a="1"/>
  <c r="W327" i="143" s="1"/>
  <c r="V327" i="143" a="1"/>
  <c r="V327" i="143" s="1"/>
  <c r="U327" i="143" a="1"/>
  <c r="U327" i="143" s="1"/>
  <c r="W326" i="143" a="1"/>
  <c r="W326" i="143" s="1"/>
  <c r="V326" i="143" a="1"/>
  <c r="V326" i="143" s="1"/>
  <c r="U326" i="143" a="1"/>
  <c r="U326" i="143" s="1"/>
  <c r="W325" i="143" a="1"/>
  <c r="W325" i="143" s="1"/>
  <c r="V325" i="143" a="1"/>
  <c r="V325" i="143" s="1"/>
  <c r="U325" i="143" a="1"/>
  <c r="U325" i="143" s="1"/>
  <c r="W324" i="143" a="1"/>
  <c r="W324" i="143" s="1"/>
  <c r="V324" i="143" a="1"/>
  <c r="V324" i="143" s="1"/>
  <c r="U324" i="143" a="1"/>
  <c r="U324" i="143" s="1"/>
  <c r="W323" i="143" a="1"/>
  <c r="W323" i="143" s="1"/>
  <c r="V323" i="143" a="1"/>
  <c r="V323" i="143" s="1"/>
  <c r="U323" i="143" a="1"/>
  <c r="U323" i="143" s="1"/>
  <c r="W322" i="143" a="1"/>
  <c r="W322" i="143" s="1"/>
  <c r="V322" i="143" a="1"/>
  <c r="V322" i="143" s="1"/>
  <c r="U322" i="143" a="1"/>
  <c r="U322" i="143" s="1"/>
  <c r="W321" i="143" a="1"/>
  <c r="W321" i="143" s="1"/>
  <c r="V321" i="143" a="1"/>
  <c r="V321" i="143" s="1"/>
  <c r="U321" i="143" a="1"/>
  <c r="U321" i="143" s="1"/>
  <c r="W320" i="143" a="1"/>
  <c r="W320" i="143" s="1"/>
  <c r="V320" i="143" a="1"/>
  <c r="V320" i="143" s="1"/>
  <c r="U320" i="143" a="1"/>
  <c r="U320" i="143" s="1"/>
  <c r="W319" i="143" a="1"/>
  <c r="W319" i="143" s="1"/>
  <c r="V319" i="143" a="1"/>
  <c r="V319" i="143" s="1"/>
  <c r="U319" i="143" a="1"/>
  <c r="U319" i="143" s="1"/>
  <c r="W318" i="143" a="1"/>
  <c r="W318" i="143" s="1"/>
  <c r="V318" i="143" a="1"/>
  <c r="V318" i="143" s="1"/>
  <c r="U318" i="143" a="1"/>
  <c r="U318" i="143" s="1"/>
  <c r="W317" i="143" a="1"/>
  <c r="W317" i="143" s="1"/>
  <c r="V317" i="143" a="1"/>
  <c r="V317" i="143" s="1"/>
  <c r="U317" i="143" a="1"/>
  <c r="U317" i="143" s="1"/>
  <c r="W316" i="143" a="1"/>
  <c r="W316" i="143" s="1"/>
  <c r="V316" i="143" a="1"/>
  <c r="V316" i="143" s="1"/>
  <c r="U316" i="143" a="1"/>
  <c r="U316" i="143" s="1"/>
  <c r="W315" i="143" a="1"/>
  <c r="W315" i="143" s="1"/>
  <c r="V315" i="143" a="1"/>
  <c r="V315" i="143" s="1"/>
  <c r="U315" i="143" a="1"/>
  <c r="U315" i="143" s="1"/>
  <c r="W314" i="143" a="1"/>
  <c r="W314" i="143" s="1"/>
  <c r="V314" i="143" a="1"/>
  <c r="V314" i="143" s="1"/>
  <c r="U314" i="143" a="1"/>
  <c r="U314" i="143" s="1"/>
  <c r="W313" i="143" a="1"/>
  <c r="W313" i="143" s="1"/>
  <c r="V313" i="143" a="1"/>
  <c r="V313" i="143" s="1"/>
  <c r="U313" i="143" a="1"/>
  <c r="U313" i="143" s="1"/>
  <c r="W312" i="143" a="1"/>
  <c r="W312" i="143" s="1"/>
  <c r="V312" i="143" a="1"/>
  <c r="V312" i="143" s="1"/>
  <c r="U312" i="143" a="1"/>
  <c r="U312" i="143" s="1"/>
  <c r="W311" i="143" a="1"/>
  <c r="W311" i="143" s="1"/>
  <c r="V311" i="143" a="1"/>
  <c r="V311" i="143" s="1"/>
  <c r="U311" i="143"/>
  <c r="U311" i="143" a="1"/>
  <c r="W310" i="143" a="1"/>
  <c r="W310" i="143" s="1"/>
  <c r="V310" i="143" a="1"/>
  <c r="V310" i="143" s="1"/>
  <c r="U310" i="143" a="1"/>
  <c r="U310" i="143" s="1"/>
  <c r="W309" i="143" a="1"/>
  <c r="W309" i="143" s="1"/>
  <c r="V309" i="143" a="1"/>
  <c r="V309" i="143" s="1"/>
  <c r="U309" i="143" a="1"/>
  <c r="U309" i="143" s="1"/>
  <c r="W308" i="143" a="1"/>
  <c r="W308" i="143" s="1"/>
  <c r="V308" i="143" a="1"/>
  <c r="V308" i="143" s="1"/>
  <c r="U308" i="143" a="1"/>
  <c r="U308" i="143" s="1"/>
  <c r="W307" i="143" a="1"/>
  <c r="W307" i="143" s="1"/>
  <c r="V307" i="143" a="1"/>
  <c r="V307" i="143" s="1"/>
  <c r="U307" i="143" a="1"/>
  <c r="U307" i="143" s="1"/>
  <c r="W306" i="143" a="1"/>
  <c r="W306" i="143" s="1"/>
  <c r="V306" i="143" a="1"/>
  <c r="V306" i="143" s="1"/>
  <c r="U306" i="143" a="1"/>
  <c r="U306" i="143" s="1"/>
  <c r="W305" i="143" a="1"/>
  <c r="W305" i="143" s="1"/>
  <c r="V305" i="143" a="1"/>
  <c r="V305" i="143" s="1"/>
  <c r="U305" i="143" a="1"/>
  <c r="U305" i="143" s="1"/>
  <c r="W304" i="143" a="1"/>
  <c r="W304" i="143" s="1"/>
  <c r="V304" i="143" a="1"/>
  <c r="V304" i="143" s="1"/>
  <c r="U304" i="143" a="1"/>
  <c r="U304" i="143" s="1"/>
  <c r="W303" i="143" a="1"/>
  <c r="W303" i="143" s="1"/>
  <c r="V303" i="143" a="1"/>
  <c r="V303" i="143" s="1"/>
  <c r="U303" i="143" a="1"/>
  <c r="U303" i="143" s="1"/>
  <c r="W302" i="143" a="1"/>
  <c r="W302" i="143" s="1"/>
  <c r="V302" i="143" a="1"/>
  <c r="V302" i="143" s="1"/>
  <c r="U302" i="143" a="1"/>
  <c r="U302" i="143" s="1"/>
  <c r="W301" i="143" a="1"/>
  <c r="W301" i="143" s="1"/>
  <c r="V301" i="143" a="1"/>
  <c r="V301" i="143" s="1"/>
  <c r="U301" i="143" a="1"/>
  <c r="U301" i="143" s="1"/>
  <c r="W300" i="143" a="1"/>
  <c r="W300" i="143" s="1"/>
  <c r="V300" i="143" a="1"/>
  <c r="V300" i="143" s="1"/>
  <c r="U300" i="143" a="1"/>
  <c r="U300" i="143" s="1"/>
  <c r="W299" i="143" a="1"/>
  <c r="W299" i="143" s="1"/>
  <c r="V299" i="143" a="1"/>
  <c r="V299" i="143" s="1"/>
  <c r="U299" i="143" a="1"/>
  <c r="U299" i="143" s="1"/>
  <c r="W298" i="143" a="1"/>
  <c r="W298" i="143" s="1"/>
  <c r="V298" i="143" a="1"/>
  <c r="V298" i="143" s="1"/>
  <c r="U298" i="143" a="1"/>
  <c r="U298" i="143" s="1"/>
  <c r="W297" i="143" a="1"/>
  <c r="W297" i="143" s="1"/>
  <c r="V297" i="143" a="1"/>
  <c r="V297" i="143" s="1"/>
  <c r="U297" i="143" a="1"/>
  <c r="U297" i="143" s="1"/>
  <c r="W296" i="143" a="1"/>
  <c r="W296" i="143" s="1"/>
  <c r="V296" i="143" a="1"/>
  <c r="V296" i="143" s="1"/>
  <c r="U296" i="143" a="1"/>
  <c r="U296" i="143" s="1"/>
  <c r="W295" i="143" a="1"/>
  <c r="W295" i="143" s="1"/>
  <c r="V295" i="143" a="1"/>
  <c r="V295" i="143" s="1"/>
  <c r="U295" i="143" a="1"/>
  <c r="U295" i="143" s="1"/>
  <c r="W294" i="143" a="1"/>
  <c r="W294" i="143" s="1"/>
  <c r="V294" i="143" a="1"/>
  <c r="V294" i="143" s="1"/>
  <c r="U294" i="143" a="1"/>
  <c r="U294" i="143" s="1"/>
  <c r="W293" i="143" a="1"/>
  <c r="W293" i="143" s="1"/>
  <c r="V293" i="143" a="1"/>
  <c r="V293" i="143" s="1"/>
  <c r="U293" i="143" a="1"/>
  <c r="U293" i="143" s="1"/>
  <c r="W292" i="143" a="1"/>
  <c r="W292" i="143" s="1"/>
  <c r="V292" i="143" a="1"/>
  <c r="V292" i="143" s="1"/>
  <c r="U292" i="143" a="1"/>
  <c r="U292" i="143" s="1"/>
  <c r="W291" i="143" a="1"/>
  <c r="W291" i="143" s="1"/>
  <c r="V291" i="143" a="1"/>
  <c r="V291" i="143" s="1"/>
  <c r="U291" i="143" a="1"/>
  <c r="U291" i="143" s="1"/>
  <c r="W290" i="143" a="1"/>
  <c r="W290" i="143" s="1"/>
  <c r="V290" i="143" a="1"/>
  <c r="V290" i="143" s="1"/>
  <c r="U290" i="143" a="1"/>
  <c r="U290" i="143" s="1"/>
  <c r="W289" i="143" a="1"/>
  <c r="W289" i="143" s="1"/>
  <c r="V289" i="143" a="1"/>
  <c r="V289" i="143" s="1"/>
  <c r="U289" i="143" a="1"/>
  <c r="U289" i="143" s="1"/>
  <c r="W288" i="143" a="1"/>
  <c r="W288" i="143" s="1"/>
  <c r="V288" i="143" a="1"/>
  <c r="V288" i="143" s="1"/>
  <c r="U288" i="143" a="1"/>
  <c r="U288" i="143" s="1"/>
  <c r="W287" i="143" a="1"/>
  <c r="W287" i="143" s="1"/>
  <c r="V287" i="143" a="1"/>
  <c r="V287" i="143" s="1"/>
  <c r="U287" i="143" a="1"/>
  <c r="U287" i="143" s="1"/>
  <c r="W286" i="143" a="1"/>
  <c r="W286" i="143" s="1"/>
  <c r="V286" i="143" a="1"/>
  <c r="V286" i="143" s="1"/>
  <c r="U286" i="143" a="1"/>
  <c r="U286" i="143" s="1"/>
  <c r="W285" i="143" a="1"/>
  <c r="W285" i="143" s="1"/>
  <c r="V285" i="143" a="1"/>
  <c r="V285" i="143" s="1"/>
  <c r="U285" i="143" a="1"/>
  <c r="U285" i="143" s="1"/>
  <c r="W284" i="143" a="1"/>
  <c r="W284" i="143" s="1"/>
  <c r="V284" i="143" a="1"/>
  <c r="V284" i="143" s="1"/>
  <c r="U284" i="143" a="1"/>
  <c r="U284" i="143" s="1"/>
  <c r="W283" i="143" a="1"/>
  <c r="W283" i="143" s="1"/>
  <c r="V283" i="143" a="1"/>
  <c r="V283" i="143" s="1"/>
  <c r="U283" i="143" a="1"/>
  <c r="U283" i="143" s="1"/>
  <c r="W282" i="143" a="1"/>
  <c r="W282" i="143" s="1"/>
  <c r="V282" i="143" a="1"/>
  <c r="V282" i="143" s="1"/>
  <c r="U282" i="143" a="1"/>
  <c r="U282" i="143" s="1"/>
  <c r="W281" i="143" a="1"/>
  <c r="W281" i="143" s="1"/>
  <c r="V281" i="143" a="1"/>
  <c r="V281" i="143" s="1"/>
  <c r="U281" i="143" a="1"/>
  <c r="U281" i="143" s="1"/>
  <c r="W280" i="143" a="1"/>
  <c r="W280" i="143" s="1"/>
  <c r="V280" i="143" a="1"/>
  <c r="V280" i="143" s="1"/>
  <c r="U280" i="143" a="1"/>
  <c r="U280" i="143" s="1"/>
  <c r="W279" i="143" a="1"/>
  <c r="W279" i="143" s="1"/>
  <c r="V279" i="143" a="1"/>
  <c r="V279" i="143" s="1"/>
  <c r="U279" i="143" a="1"/>
  <c r="U279" i="143" s="1"/>
  <c r="W278" i="143" a="1"/>
  <c r="W278" i="143" s="1"/>
  <c r="V278" i="143" a="1"/>
  <c r="V278" i="143" s="1"/>
  <c r="U278" i="143" a="1"/>
  <c r="U278" i="143" s="1"/>
  <c r="W277" i="143" a="1"/>
  <c r="W277" i="143" s="1"/>
  <c r="V277" i="143" a="1"/>
  <c r="V277" i="143" s="1"/>
  <c r="U277" i="143" a="1"/>
  <c r="U277" i="143" s="1"/>
  <c r="W276" i="143" a="1"/>
  <c r="W276" i="143" s="1"/>
  <c r="V276" i="143" a="1"/>
  <c r="V276" i="143" s="1"/>
  <c r="U276" i="143" a="1"/>
  <c r="U276" i="143" s="1"/>
  <c r="W275" i="143" a="1"/>
  <c r="W275" i="143" s="1"/>
  <c r="V275" i="143" a="1"/>
  <c r="V275" i="143" s="1"/>
  <c r="U275" i="143" a="1"/>
  <c r="U275" i="143" s="1"/>
  <c r="W274" i="143" a="1"/>
  <c r="W274" i="143" s="1"/>
  <c r="V274" i="143" a="1"/>
  <c r="V274" i="143" s="1"/>
  <c r="U274" i="143" a="1"/>
  <c r="U274" i="143" s="1"/>
  <c r="W273" i="143" a="1"/>
  <c r="W273" i="143" s="1"/>
  <c r="V273" i="143" a="1"/>
  <c r="V273" i="143" s="1"/>
  <c r="U273" i="143" a="1"/>
  <c r="U273" i="143" s="1"/>
  <c r="W272" i="143" a="1"/>
  <c r="W272" i="143" s="1"/>
  <c r="V272" i="143" a="1"/>
  <c r="V272" i="143" s="1"/>
  <c r="U272" i="143" a="1"/>
  <c r="U272" i="143" s="1"/>
  <c r="W271" i="143" a="1"/>
  <c r="W271" i="143" s="1"/>
  <c r="V271" i="143" a="1"/>
  <c r="V271" i="143" s="1"/>
  <c r="U271" i="143" a="1"/>
  <c r="U271" i="143" s="1"/>
  <c r="W270" i="143" a="1"/>
  <c r="W270" i="143" s="1"/>
  <c r="V270" i="143" a="1"/>
  <c r="V270" i="143" s="1"/>
  <c r="U270" i="143" a="1"/>
  <c r="U270" i="143" s="1"/>
  <c r="W269" i="143" a="1"/>
  <c r="W269" i="143" s="1"/>
  <c r="V269" i="143" a="1"/>
  <c r="V269" i="143" s="1"/>
  <c r="U269" i="143" a="1"/>
  <c r="U269" i="143" s="1"/>
  <c r="W268" i="143" a="1"/>
  <c r="W268" i="143" s="1"/>
  <c r="V268" i="143" a="1"/>
  <c r="V268" i="143" s="1"/>
  <c r="U268" i="143" a="1"/>
  <c r="U268" i="143" s="1"/>
  <c r="W267" i="143" a="1"/>
  <c r="W267" i="143" s="1"/>
  <c r="V267" i="143" a="1"/>
  <c r="V267" i="143" s="1"/>
  <c r="U267" i="143" a="1"/>
  <c r="U267" i="143" s="1"/>
  <c r="W266" i="143" a="1"/>
  <c r="W266" i="143" s="1"/>
  <c r="V266" i="143" a="1"/>
  <c r="V266" i="143" s="1"/>
  <c r="U266" i="143" a="1"/>
  <c r="U266" i="143" s="1"/>
  <c r="W265" i="143" a="1"/>
  <c r="W265" i="143" s="1"/>
  <c r="V265" i="143" a="1"/>
  <c r="V265" i="143" s="1"/>
  <c r="U265" i="143" a="1"/>
  <c r="U265" i="143" s="1"/>
  <c r="W264" i="143" a="1"/>
  <c r="W264" i="143" s="1"/>
  <c r="V264" i="143" a="1"/>
  <c r="V264" i="143" s="1"/>
  <c r="U264" i="143" a="1"/>
  <c r="U264" i="143" s="1"/>
  <c r="W263" i="143" a="1"/>
  <c r="W263" i="143" s="1"/>
  <c r="V263" i="143" a="1"/>
  <c r="V263" i="143" s="1"/>
  <c r="U263" i="143" a="1"/>
  <c r="U263" i="143" s="1"/>
  <c r="W262" i="143" a="1"/>
  <c r="W262" i="143" s="1"/>
  <c r="V262" i="143" a="1"/>
  <c r="V262" i="143" s="1"/>
  <c r="U262" i="143" a="1"/>
  <c r="U262" i="143" s="1"/>
  <c r="W261" i="143" a="1"/>
  <c r="W261" i="143" s="1"/>
  <c r="V261" i="143" a="1"/>
  <c r="V261" i="143" s="1"/>
  <c r="U261" i="143" a="1"/>
  <c r="U261" i="143" s="1"/>
  <c r="W260" i="143" a="1"/>
  <c r="W260" i="143" s="1"/>
  <c r="V260" i="143"/>
  <c r="V260" i="143" a="1"/>
  <c r="U260" i="143" a="1"/>
  <c r="U260" i="143" s="1"/>
  <c r="W259" i="143" a="1"/>
  <c r="W259" i="143" s="1"/>
  <c r="V259" i="143" a="1"/>
  <c r="V259" i="143" s="1"/>
  <c r="U259" i="143" a="1"/>
  <c r="U259" i="143" s="1"/>
  <c r="W258" i="143" a="1"/>
  <c r="W258" i="143" s="1"/>
  <c r="V258" i="143" a="1"/>
  <c r="V258" i="143" s="1"/>
  <c r="U258" i="143" a="1"/>
  <c r="U258" i="143" s="1"/>
  <c r="W257" i="143" a="1"/>
  <c r="W257" i="143" s="1"/>
  <c r="V257" i="143" a="1"/>
  <c r="V257" i="143" s="1"/>
  <c r="U257" i="143" a="1"/>
  <c r="U257" i="143" s="1"/>
  <c r="W256" i="143" a="1"/>
  <c r="W256" i="143" s="1"/>
  <c r="V256" i="143" a="1"/>
  <c r="V256" i="143" s="1"/>
  <c r="U256" i="143" a="1"/>
  <c r="U256" i="143" s="1"/>
  <c r="W255" i="143" a="1"/>
  <c r="W255" i="143" s="1"/>
  <c r="V255" i="143" a="1"/>
  <c r="V255" i="143" s="1"/>
  <c r="U255" i="143" a="1"/>
  <c r="U255" i="143" s="1"/>
  <c r="W254" i="143" a="1"/>
  <c r="W254" i="143" s="1"/>
  <c r="V254" i="143" a="1"/>
  <c r="V254" i="143" s="1"/>
  <c r="U254" i="143" a="1"/>
  <c r="U254" i="143" s="1"/>
  <c r="W253" i="143" a="1"/>
  <c r="W253" i="143" s="1"/>
  <c r="V253" i="143" a="1"/>
  <c r="V253" i="143" s="1"/>
  <c r="U253" i="143" a="1"/>
  <c r="U253" i="143" s="1"/>
  <c r="W252" i="143" a="1"/>
  <c r="W252" i="143" s="1"/>
  <c r="V252" i="143" a="1"/>
  <c r="V252" i="143" s="1"/>
  <c r="U252" i="143" a="1"/>
  <c r="U252" i="143" s="1"/>
  <c r="W251" i="143" a="1"/>
  <c r="W251" i="143" s="1"/>
  <c r="V251" i="143" a="1"/>
  <c r="V251" i="143" s="1"/>
  <c r="U251" i="143" a="1"/>
  <c r="U251" i="143" s="1"/>
  <c r="W250" i="143" a="1"/>
  <c r="W250" i="143" s="1"/>
  <c r="V250" i="143" a="1"/>
  <c r="V250" i="143" s="1"/>
  <c r="U250" i="143" a="1"/>
  <c r="U250" i="143" s="1"/>
  <c r="W249" i="143" a="1"/>
  <c r="W249" i="143" s="1"/>
  <c r="V249" i="143" a="1"/>
  <c r="V249" i="143" s="1"/>
  <c r="U249" i="143" a="1"/>
  <c r="U249" i="143" s="1"/>
  <c r="W248" i="143" a="1"/>
  <c r="W248" i="143" s="1"/>
  <c r="V248" i="143" a="1"/>
  <c r="V248" i="143" s="1"/>
  <c r="U248" i="143" a="1"/>
  <c r="U248" i="143" s="1"/>
  <c r="W247" i="143" a="1"/>
  <c r="W247" i="143" s="1"/>
  <c r="V247" i="143" a="1"/>
  <c r="V247" i="143" s="1"/>
  <c r="U247" i="143" a="1"/>
  <c r="U247" i="143" s="1"/>
  <c r="W246" i="143" a="1"/>
  <c r="W246" i="143" s="1"/>
  <c r="V246" i="143" a="1"/>
  <c r="V246" i="143" s="1"/>
  <c r="U246" i="143" a="1"/>
  <c r="U246" i="143" s="1"/>
  <c r="W245" i="143" a="1"/>
  <c r="W245" i="143" s="1"/>
  <c r="V245" i="143" a="1"/>
  <c r="V245" i="143" s="1"/>
  <c r="U245" i="143" a="1"/>
  <c r="U245" i="143" s="1"/>
  <c r="W244" i="143" a="1"/>
  <c r="W244" i="143" s="1"/>
  <c r="V244" i="143" a="1"/>
  <c r="V244" i="143" s="1"/>
  <c r="U244" i="143" a="1"/>
  <c r="U244" i="143" s="1"/>
  <c r="W243" i="143" a="1"/>
  <c r="W243" i="143" s="1"/>
  <c r="V243" i="143" a="1"/>
  <c r="V243" i="143" s="1"/>
  <c r="U243" i="143" a="1"/>
  <c r="U243" i="143" s="1"/>
  <c r="W242" i="143" a="1"/>
  <c r="W242" i="143" s="1"/>
  <c r="V242" i="143" a="1"/>
  <c r="V242" i="143" s="1"/>
  <c r="U242" i="143" a="1"/>
  <c r="U242" i="143" s="1"/>
  <c r="W241" i="143" a="1"/>
  <c r="W241" i="143" s="1"/>
  <c r="V241" i="143" a="1"/>
  <c r="V241" i="143" s="1"/>
  <c r="U241" i="143" a="1"/>
  <c r="U241" i="143" s="1"/>
  <c r="W240" i="143" a="1"/>
  <c r="W240" i="143" s="1"/>
  <c r="V240" i="143" a="1"/>
  <c r="V240" i="143" s="1"/>
  <c r="U240" i="143" a="1"/>
  <c r="U240" i="143" s="1"/>
  <c r="W239" i="143" a="1"/>
  <c r="W239" i="143" s="1"/>
  <c r="V239" i="143" a="1"/>
  <c r="V239" i="143" s="1"/>
  <c r="U239" i="143" a="1"/>
  <c r="U239" i="143" s="1"/>
  <c r="W238" i="143" a="1"/>
  <c r="W238" i="143" s="1"/>
  <c r="V238" i="143" a="1"/>
  <c r="V238" i="143" s="1"/>
  <c r="U238" i="143" a="1"/>
  <c r="U238" i="143" s="1"/>
  <c r="W237" i="143" a="1"/>
  <c r="W237" i="143" s="1"/>
  <c r="V237" i="143" a="1"/>
  <c r="V237" i="143" s="1"/>
  <c r="U237" i="143" a="1"/>
  <c r="U237" i="143" s="1"/>
  <c r="W236" i="143" a="1"/>
  <c r="W236" i="143" s="1"/>
  <c r="V236" i="143" a="1"/>
  <c r="V236" i="143" s="1"/>
  <c r="U236" i="143" a="1"/>
  <c r="U236" i="143" s="1"/>
  <c r="W235" i="143" a="1"/>
  <c r="W235" i="143" s="1"/>
  <c r="V235" i="143" a="1"/>
  <c r="V235" i="143" s="1"/>
  <c r="U235" i="143" a="1"/>
  <c r="U235" i="143" s="1"/>
  <c r="W234" i="143" a="1"/>
  <c r="W234" i="143" s="1"/>
  <c r="V234" i="143" a="1"/>
  <c r="V234" i="143" s="1"/>
  <c r="U234" i="143" a="1"/>
  <c r="U234" i="143" s="1"/>
  <c r="W233" i="143" a="1"/>
  <c r="W233" i="143" s="1"/>
  <c r="V233" i="143" a="1"/>
  <c r="V233" i="143" s="1"/>
  <c r="U233" i="143" a="1"/>
  <c r="U233" i="143" s="1"/>
  <c r="W232" i="143" a="1"/>
  <c r="W232" i="143" s="1"/>
  <c r="V232" i="143" a="1"/>
  <c r="V232" i="143" s="1"/>
  <c r="U232" i="143" a="1"/>
  <c r="U232" i="143" s="1"/>
  <c r="W231" i="143" a="1"/>
  <c r="W231" i="143" s="1"/>
  <c r="V231" i="143" a="1"/>
  <c r="V231" i="143" s="1"/>
  <c r="U231" i="143" a="1"/>
  <c r="U231" i="143" s="1"/>
  <c r="W230" i="143" a="1"/>
  <c r="W230" i="143" s="1"/>
  <c r="V230" i="143" a="1"/>
  <c r="V230" i="143" s="1"/>
  <c r="U230" i="143" a="1"/>
  <c r="U230" i="143" s="1"/>
  <c r="W229" i="143" a="1"/>
  <c r="W229" i="143" s="1"/>
  <c r="V229" i="143" a="1"/>
  <c r="V229" i="143" s="1"/>
  <c r="U229" i="143" a="1"/>
  <c r="U229" i="143" s="1"/>
  <c r="W228" i="143" a="1"/>
  <c r="W228" i="143" s="1"/>
  <c r="V228" i="143" a="1"/>
  <c r="V228" i="143" s="1"/>
  <c r="U228" i="143" a="1"/>
  <c r="U228" i="143" s="1"/>
  <c r="W227" i="143" a="1"/>
  <c r="W227" i="143" s="1"/>
  <c r="V227" i="143"/>
  <c r="V227" i="143" a="1"/>
  <c r="U227" i="143" a="1"/>
  <c r="U227" i="143" s="1"/>
  <c r="W226" i="143" a="1"/>
  <c r="W226" i="143" s="1"/>
  <c r="V226" i="143" a="1"/>
  <c r="V226" i="143" s="1"/>
  <c r="U226" i="143" a="1"/>
  <c r="U226" i="143" s="1"/>
  <c r="W225" i="143" a="1"/>
  <c r="W225" i="143" s="1"/>
  <c r="V225" i="143" a="1"/>
  <c r="V225" i="143" s="1"/>
  <c r="U225" i="143" a="1"/>
  <c r="U225" i="143" s="1"/>
  <c r="W224" i="143" a="1"/>
  <c r="W224" i="143" s="1"/>
  <c r="V224" i="143" a="1"/>
  <c r="V224" i="143" s="1"/>
  <c r="U224" i="143" a="1"/>
  <c r="U224" i="143" s="1"/>
  <c r="W223" i="143" a="1"/>
  <c r="W223" i="143" s="1"/>
  <c r="V223" i="143" a="1"/>
  <c r="V223" i="143" s="1"/>
  <c r="U223" i="143" a="1"/>
  <c r="U223" i="143" s="1"/>
  <c r="W222" i="143" a="1"/>
  <c r="W222" i="143" s="1"/>
  <c r="V222" i="143" a="1"/>
  <c r="V222" i="143" s="1"/>
  <c r="U222" i="143" a="1"/>
  <c r="U222" i="143" s="1"/>
  <c r="W221" i="143" a="1"/>
  <c r="W221" i="143" s="1"/>
  <c r="V221" i="143" a="1"/>
  <c r="V221" i="143" s="1"/>
  <c r="U221" i="143" a="1"/>
  <c r="U221" i="143" s="1"/>
  <c r="W220" i="143" a="1"/>
  <c r="W220" i="143" s="1"/>
  <c r="V220" i="143" a="1"/>
  <c r="V220" i="143" s="1"/>
  <c r="U220" i="143" a="1"/>
  <c r="U220" i="143" s="1"/>
  <c r="W219" i="143" a="1"/>
  <c r="W219" i="143" s="1"/>
  <c r="V219" i="143" a="1"/>
  <c r="V219" i="143" s="1"/>
  <c r="U219" i="143" a="1"/>
  <c r="U219" i="143" s="1"/>
  <c r="W218" i="143" a="1"/>
  <c r="W218" i="143" s="1"/>
  <c r="V218" i="143" a="1"/>
  <c r="V218" i="143" s="1"/>
  <c r="U218" i="143" a="1"/>
  <c r="U218" i="143" s="1"/>
  <c r="W217" i="143" a="1"/>
  <c r="W217" i="143" s="1"/>
  <c r="V217" i="143" a="1"/>
  <c r="V217" i="143" s="1"/>
  <c r="U217" i="143" a="1"/>
  <c r="U217" i="143" s="1"/>
  <c r="W216" i="143" a="1"/>
  <c r="W216" i="143" s="1"/>
  <c r="V216" i="143" a="1"/>
  <c r="V216" i="143" s="1"/>
  <c r="U216" i="143" a="1"/>
  <c r="U216" i="143" s="1"/>
  <c r="W215" i="143" a="1"/>
  <c r="W215" i="143" s="1"/>
  <c r="V215" i="143" a="1"/>
  <c r="V215" i="143" s="1"/>
  <c r="U215" i="143" a="1"/>
  <c r="U215" i="143" s="1"/>
  <c r="W214" i="143" a="1"/>
  <c r="W214" i="143" s="1"/>
  <c r="V214" i="143" a="1"/>
  <c r="V214" i="143" s="1"/>
  <c r="U214" i="143" a="1"/>
  <c r="U214" i="143" s="1"/>
  <c r="W213" i="143" a="1"/>
  <c r="W213" i="143" s="1"/>
  <c r="V213" i="143" a="1"/>
  <c r="V213" i="143" s="1"/>
  <c r="U213" i="143" a="1"/>
  <c r="U213" i="143" s="1"/>
  <c r="W212" i="143"/>
  <c r="W212" i="143" a="1"/>
  <c r="V212" i="143" a="1"/>
  <c r="V212" i="143" s="1"/>
  <c r="U212" i="143" a="1"/>
  <c r="U212" i="143" s="1"/>
  <c r="W211" i="143" a="1"/>
  <c r="W211" i="143" s="1"/>
  <c r="V211" i="143" a="1"/>
  <c r="V211" i="143" s="1"/>
  <c r="U211" i="143" a="1"/>
  <c r="U211" i="143" s="1"/>
  <c r="W210" i="143" a="1"/>
  <c r="W210" i="143" s="1"/>
  <c r="V210" i="143" a="1"/>
  <c r="V210" i="143" s="1"/>
  <c r="U210" i="143" a="1"/>
  <c r="U210" i="143" s="1"/>
  <c r="W209" i="143" a="1"/>
  <c r="W209" i="143" s="1"/>
  <c r="V209" i="143" a="1"/>
  <c r="V209" i="143" s="1"/>
  <c r="U209" i="143" a="1"/>
  <c r="U209" i="143" s="1"/>
  <c r="W208" i="143" a="1"/>
  <c r="W208" i="143" s="1"/>
  <c r="V208" i="143" a="1"/>
  <c r="V208" i="143" s="1"/>
  <c r="U208" i="143" a="1"/>
  <c r="U208" i="143" s="1"/>
  <c r="W207" i="143" a="1"/>
  <c r="W207" i="143" s="1"/>
  <c r="V207" i="143" a="1"/>
  <c r="V207" i="143" s="1"/>
  <c r="U207" i="143" a="1"/>
  <c r="U207" i="143" s="1"/>
  <c r="W206" i="143" a="1"/>
  <c r="W206" i="143" s="1"/>
  <c r="V206" i="143" a="1"/>
  <c r="V206" i="143" s="1"/>
  <c r="U206" i="143" a="1"/>
  <c r="U206" i="143" s="1"/>
  <c r="W205" i="143" a="1"/>
  <c r="W205" i="143" s="1"/>
  <c r="V205" i="143" a="1"/>
  <c r="V205" i="143" s="1"/>
  <c r="U205" i="143" a="1"/>
  <c r="U205" i="143" s="1"/>
  <c r="W204" i="143" a="1"/>
  <c r="W204" i="143" s="1"/>
  <c r="V204" i="143" a="1"/>
  <c r="V204" i="143" s="1"/>
  <c r="U204" i="143" a="1"/>
  <c r="U204" i="143" s="1"/>
  <c r="W203" i="143" a="1"/>
  <c r="W203" i="143" s="1"/>
  <c r="V203" i="143" a="1"/>
  <c r="V203" i="143" s="1"/>
  <c r="U203" i="143" a="1"/>
  <c r="U203" i="143" s="1"/>
  <c r="W202" i="143" a="1"/>
  <c r="W202" i="143" s="1"/>
  <c r="V202" i="143" a="1"/>
  <c r="V202" i="143" s="1"/>
  <c r="U202" i="143" a="1"/>
  <c r="U202" i="143" s="1"/>
  <c r="W201" i="143" a="1"/>
  <c r="W201" i="143" s="1"/>
  <c r="V201" i="143" a="1"/>
  <c r="V201" i="143" s="1"/>
  <c r="U201" i="143" a="1"/>
  <c r="U201" i="143" s="1"/>
  <c r="W200" i="143" a="1"/>
  <c r="W200" i="143" s="1"/>
  <c r="V200" i="143" a="1"/>
  <c r="V200" i="143" s="1"/>
  <c r="U200" i="143" a="1"/>
  <c r="U200" i="143" s="1"/>
  <c r="W199" i="143" a="1"/>
  <c r="W199" i="143" s="1"/>
  <c r="V199" i="143" a="1"/>
  <c r="V199" i="143" s="1"/>
  <c r="U199" i="143" a="1"/>
  <c r="U199" i="143" s="1"/>
  <c r="W198" i="143" a="1"/>
  <c r="W198" i="143" s="1"/>
  <c r="V198" i="143" a="1"/>
  <c r="V198" i="143" s="1"/>
  <c r="U198" i="143"/>
  <c r="U198" i="143" a="1"/>
  <c r="W197" i="143" a="1"/>
  <c r="W197" i="143" s="1"/>
  <c r="V197" i="143" a="1"/>
  <c r="V197" i="143" s="1"/>
  <c r="U197" i="143" a="1"/>
  <c r="U197" i="143" s="1"/>
  <c r="W196" i="143" a="1"/>
  <c r="W196" i="143" s="1"/>
  <c r="V196" i="143"/>
  <c r="V196" i="143" a="1"/>
  <c r="U196" i="143" a="1"/>
  <c r="U196" i="143" s="1"/>
  <c r="W195" i="143" a="1"/>
  <c r="W195" i="143" s="1"/>
  <c r="V195" i="143" a="1"/>
  <c r="V195" i="143" s="1"/>
  <c r="U195" i="143" a="1"/>
  <c r="U195" i="143" s="1"/>
  <c r="W194" i="143" a="1"/>
  <c r="W194" i="143" s="1"/>
  <c r="V194" i="143" a="1"/>
  <c r="V194" i="143" s="1"/>
  <c r="U194" i="143" a="1"/>
  <c r="U194" i="143" s="1"/>
  <c r="W193" i="143" a="1"/>
  <c r="W193" i="143" s="1"/>
  <c r="V193" i="143" a="1"/>
  <c r="V193" i="143" s="1"/>
  <c r="U193" i="143" a="1"/>
  <c r="U193" i="143" s="1"/>
  <c r="W192" i="143" a="1"/>
  <c r="W192" i="143" s="1"/>
  <c r="V192" i="143" a="1"/>
  <c r="V192" i="143" s="1"/>
  <c r="U192" i="143" a="1"/>
  <c r="U192" i="143" s="1"/>
  <c r="W191" i="143" a="1"/>
  <c r="W191" i="143" s="1"/>
  <c r="V191" i="143" a="1"/>
  <c r="V191" i="143" s="1"/>
  <c r="U191" i="143" a="1"/>
  <c r="U191" i="143" s="1"/>
  <c r="W190" i="143" a="1"/>
  <c r="W190" i="143" s="1"/>
  <c r="V190" i="143" a="1"/>
  <c r="V190" i="143" s="1"/>
  <c r="U190" i="143" a="1"/>
  <c r="U190" i="143" s="1"/>
  <c r="W189" i="143" a="1"/>
  <c r="W189" i="143" s="1"/>
  <c r="V189" i="143" a="1"/>
  <c r="V189" i="143" s="1"/>
  <c r="U189" i="143" a="1"/>
  <c r="U189" i="143" s="1"/>
  <c r="W188" i="143" a="1"/>
  <c r="W188" i="143" s="1"/>
  <c r="V188" i="143" a="1"/>
  <c r="V188" i="143" s="1"/>
  <c r="U188" i="143" a="1"/>
  <c r="U188" i="143" s="1"/>
  <c r="W187" i="143" a="1"/>
  <c r="W187" i="143" s="1"/>
  <c r="V187" i="143" a="1"/>
  <c r="V187" i="143" s="1"/>
  <c r="U187" i="143" a="1"/>
  <c r="U187" i="143" s="1"/>
  <c r="W186" i="143" a="1"/>
  <c r="W186" i="143" s="1"/>
  <c r="V186" i="143" a="1"/>
  <c r="V186" i="143" s="1"/>
  <c r="U186" i="143" a="1"/>
  <c r="U186" i="143" s="1"/>
  <c r="W185" i="143" a="1"/>
  <c r="W185" i="143" s="1"/>
  <c r="V185" i="143" a="1"/>
  <c r="V185" i="143" s="1"/>
  <c r="U185" i="143" a="1"/>
  <c r="U185" i="143" s="1"/>
  <c r="W184" i="143" a="1"/>
  <c r="W184" i="143" s="1"/>
  <c r="V184" i="143" a="1"/>
  <c r="V184" i="143" s="1"/>
  <c r="U184" i="143" a="1"/>
  <c r="U184" i="143" s="1"/>
  <c r="W183" i="143" a="1"/>
  <c r="W183" i="143" s="1"/>
  <c r="V183" i="143" a="1"/>
  <c r="V183" i="143" s="1"/>
  <c r="U183" i="143" a="1"/>
  <c r="U183" i="143" s="1"/>
  <c r="W182" i="143" a="1"/>
  <c r="W182" i="143" s="1"/>
  <c r="V182" i="143" a="1"/>
  <c r="V182" i="143" s="1"/>
  <c r="U182" i="143" a="1"/>
  <c r="U182" i="143" s="1"/>
  <c r="W181" i="143" a="1"/>
  <c r="W181" i="143" s="1"/>
  <c r="V181" i="143" a="1"/>
  <c r="V181" i="143" s="1"/>
  <c r="U181" i="143" a="1"/>
  <c r="U181" i="143" s="1"/>
  <c r="W180" i="143"/>
  <c r="W180" i="143" a="1"/>
  <c r="V180" i="143" a="1"/>
  <c r="V180" i="143" s="1"/>
  <c r="U180" i="143"/>
  <c r="U180" i="143" a="1"/>
  <c r="W179" i="143" a="1"/>
  <c r="W179" i="143" s="1"/>
  <c r="V179" i="143" a="1"/>
  <c r="V179" i="143" s="1"/>
  <c r="U179" i="143" a="1"/>
  <c r="U179" i="143" s="1"/>
  <c r="W178" i="143" a="1"/>
  <c r="W178" i="143" s="1"/>
  <c r="V178" i="143" a="1"/>
  <c r="V178" i="143" s="1"/>
  <c r="U178" i="143"/>
  <c r="U178" i="143" a="1"/>
  <c r="W177" i="143" a="1"/>
  <c r="W177" i="143" s="1"/>
  <c r="V177" i="143" a="1"/>
  <c r="V177" i="143" s="1"/>
  <c r="U177" i="143" a="1"/>
  <c r="U177" i="143" s="1"/>
  <c r="W176" i="143" a="1"/>
  <c r="W176" i="143" s="1"/>
  <c r="V176" i="143" a="1"/>
  <c r="V176" i="143" s="1"/>
  <c r="U176" i="143" a="1"/>
  <c r="U176" i="143" s="1"/>
  <c r="W175" i="143" a="1"/>
  <c r="W175" i="143" s="1"/>
  <c r="V175" i="143" a="1"/>
  <c r="V175" i="143" s="1"/>
  <c r="U175" i="143" a="1"/>
  <c r="U175" i="143" s="1"/>
  <c r="W174" i="143" a="1"/>
  <c r="W174" i="143" s="1"/>
  <c r="V174" i="143" a="1"/>
  <c r="V174" i="143" s="1"/>
  <c r="U174" i="143" a="1"/>
  <c r="U174" i="143" s="1"/>
  <c r="W173" i="143" a="1"/>
  <c r="W173" i="143" s="1"/>
  <c r="V173" i="143" a="1"/>
  <c r="V173" i="143" s="1"/>
  <c r="U173" i="143" a="1"/>
  <c r="U173" i="143" s="1"/>
  <c r="W172" i="143" a="1"/>
  <c r="W172" i="143" s="1"/>
  <c r="V172" i="143" a="1"/>
  <c r="V172" i="143" s="1"/>
  <c r="U172" i="143" a="1"/>
  <c r="U172" i="143" s="1"/>
  <c r="W171" i="143" a="1"/>
  <c r="W171" i="143" s="1"/>
  <c r="V171" i="143" a="1"/>
  <c r="V171" i="143" s="1"/>
  <c r="U171" i="143" a="1"/>
  <c r="U171" i="143" s="1"/>
  <c r="W170" i="143" a="1"/>
  <c r="W170" i="143" s="1"/>
  <c r="V170" i="143" a="1"/>
  <c r="V170" i="143" s="1"/>
  <c r="U170" i="143" a="1"/>
  <c r="U170" i="143" s="1"/>
  <c r="W169" i="143" a="1"/>
  <c r="W169" i="143" s="1"/>
  <c r="V169" i="143" a="1"/>
  <c r="V169" i="143" s="1"/>
  <c r="U169" i="143" a="1"/>
  <c r="U169" i="143" s="1"/>
  <c r="W168" i="143" a="1"/>
  <c r="W168" i="143" s="1"/>
  <c r="V168" i="143" a="1"/>
  <c r="V168" i="143" s="1"/>
  <c r="U168" i="143" a="1"/>
  <c r="U168" i="143" s="1"/>
  <c r="W167" i="143" a="1"/>
  <c r="W167" i="143" s="1"/>
  <c r="V167" i="143" a="1"/>
  <c r="V167" i="143" s="1"/>
  <c r="U167" i="143" a="1"/>
  <c r="U167" i="143" s="1"/>
  <c r="W166" i="143" a="1"/>
  <c r="W166" i="143" s="1"/>
  <c r="V166" i="143" a="1"/>
  <c r="V166" i="143" s="1"/>
  <c r="U166" i="143" a="1"/>
  <c r="U166" i="143" s="1"/>
  <c r="W165" i="143" a="1"/>
  <c r="W165" i="143" s="1"/>
  <c r="V165" i="143" a="1"/>
  <c r="V165" i="143" s="1"/>
  <c r="U165" i="143" a="1"/>
  <c r="U165" i="143" s="1"/>
  <c r="W164" i="143" a="1"/>
  <c r="W164" i="143" s="1"/>
  <c r="V164" i="143" a="1"/>
  <c r="V164" i="143" s="1"/>
  <c r="U164" i="143" a="1"/>
  <c r="U164" i="143" s="1"/>
  <c r="W163" i="143" a="1"/>
  <c r="W163" i="143" s="1"/>
  <c r="V163" i="143" a="1"/>
  <c r="V163" i="143" s="1"/>
  <c r="U163" i="143" a="1"/>
  <c r="U163" i="143" s="1"/>
  <c r="W162" i="143" a="1"/>
  <c r="W162" i="143" s="1"/>
  <c r="V162" i="143" a="1"/>
  <c r="V162" i="143" s="1"/>
  <c r="U162" i="143" a="1"/>
  <c r="U162" i="143" s="1"/>
  <c r="W161" i="143" a="1"/>
  <c r="W161" i="143" s="1"/>
  <c r="V161" i="143" a="1"/>
  <c r="V161" i="143" s="1"/>
  <c r="U161" i="143" a="1"/>
  <c r="U161" i="143" s="1"/>
  <c r="W160" i="143" a="1"/>
  <c r="W160" i="143" s="1"/>
  <c r="V160" i="143" a="1"/>
  <c r="V160" i="143" s="1"/>
  <c r="U160" i="143" a="1"/>
  <c r="U160" i="143" s="1"/>
  <c r="W159" i="143" a="1"/>
  <c r="W159" i="143" s="1"/>
  <c r="V159" i="143" a="1"/>
  <c r="V159" i="143" s="1"/>
  <c r="U159" i="143" a="1"/>
  <c r="U159" i="143" s="1"/>
  <c r="W158" i="143" a="1"/>
  <c r="W158" i="143" s="1"/>
  <c r="V158" i="143" a="1"/>
  <c r="V158" i="143" s="1"/>
  <c r="U158" i="143" a="1"/>
  <c r="U158" i="143" s="1"/>
  <c r="W157" i="143" a="1"/>
  <c r="W157" i="143" s="1"/>
  <c r="V157" i="143" a="1"/>
  <c r="V157" i="143" s="1"/>
  <c r="U157" i="143" a="1"/>
  <c r="U157" i="143" s="1"/>
  <c r="W156" i="143" a="1"/>
  <c r="W156" i="143" s="1"/>
  <c r="V156" i="143" a="1"/>
  <c r="V156" i="143" s="1"/>
  <c r="U156" i="143" a="1"/>
  <c r="U156" i="143" s="1"/>
  <c r="W155" i="143" a="1"/>
  <c r="W155" i="143" s="1"/>
  <c r="V155" i="143" a="1"/>
  <c r="V155" i="143" s="1"/>
  <c r="U155" i="143" a="1"/>
  <c r="U155" i="143" s="1"/>
  <c r="W154" i="143" a="1"/>
  <c r="W154" i="143" s="1"/>
  <c r="V154" i="143" a="1"/>
  <c r="V154" i="143" s="1"/>
  <c r="U154" i="143" a="1"/>
  <c r="U154" i="143" s="1"/>
  <c r="W153" i="143" a="1"/>
  <c r="W153" i="143" s="1"/>
  <c r="V153" i="143" a="1"/>
  <c r="V153" i="143" s="1"/>
  <c r="U153" i="143" a="1"/>
  <c r="U153" i="143" s="1"/>
  <c r="W152" i="143" a="1"/>
  <c r="W152" i="143" s="1"/>
  <c r="V152" i="143" a="1"/>
  <c r="V152" i="143" s="1"/>
  <c r="U152" i="143" a="1"/>
  <c r="U152" i="143" s="1"/>
  <c r="W151" i="143" a="1"/>
  <c r="W151" i="143" s="1"/>
  <c r="V151" i="143" a="1"/>
  <c r="V151" i="143" s="1"/>
  <c r="U151" i="143" a="1"/>
  <c r="U151" i="143" s="1"/>
  <c r="W150" i="143" a="1"/>
  <c r="W150" i="143" s="1"/>
  <c r="V150" i="143" a="1"/>
  <c r="V150" i="143" s="1"/>
  <c r="U150" i="143" a="1"/>
  <c r="U150" i="143" s="1"/>
  <c r="W149" i="143" a="1"/>
  <c r="W149" i="143" s="1"/>
  <c r="V149" i="143" a="1"/>
  <c r="V149" i="143" s="1"/>
  <c r="U149" i="143" a="1"/>
  <c r="U149" i="143" s="1"/>
  <c r="W148" i="143" a="1"/>
  <c r="W148" i="143" s="1"/>
  <c r="V148" i="143" a="1"/>
  <c r="V148" i="143" s="1"/>
  <c r="U148" i="143" a="1"/>
  <c r="U148" i="143" s="1"/>
  <c r="W147" i="143" a="1"/>
  <c r="W147" i="143" s="1"/>
  <c r="V147" i="143" a="1"/>
  <c r="V147" i="143" s="1"/>
  <c r="U147" i="143" a="1"/>
  <c r="U147" i="143" s="1"/>
  <c r="W146" i="143" a="1"/>
  <c r="W146" i="143" s="1"/>
  <c r="V146" i="143" a="1"/>
  <c r="V146" i="143" s="1"/>
  <c r="U146" i="143" a="1"/>
  <c r="U146" i="143" s="1"/>
  <c r="W145" i="143" a="1"/>
  <c r="W145" i="143" s="1"/>
  <c r="V145" i="143" a="1"/>
  <c r="V145" i="143" s="1"/>
  <c r="U145" i="143" a="1"/>
  <c r="U145" i="143" s="1"/>
  <c r="W144" i="143" a="1"/>
  <c r="W144" i="143" s="1"/>
  <c r="V144" i="143" a="1"/>
  <c r="V144" i="143" s="1"/>
  <c r="U144" i="143" a="1"/>
  <c r="U144" i="143" s="1"/>
  <c r="W143" i="143" a="1"/>
  <c r="W143" i="143" s="1"/>
  <c r="V143" i="143" a="1"/>
  <c r="V143" i="143" s="1"/>
  <c r="U143" i="143" a="1"/>
  <c r="U143" i="143" s="1"/>
  <c r="W142" i="143" a="1"/>
  <c r="W142" i="143" s="1"/>
  <c r="V142" i="143" a="1"/>
  <c r="V142" i="143" s="1"/>
  <c r="U142" i="143" a="1"/>
  <c r="U142" i="143" s="1"/>
  <c r="W141" i="143" a="1"/>
  <c r="W141" i="143" s="1"/>
  <c r="V141" i="143" a="1"/>
  <c r="V141" i="143" s="1"/>
  <c r="U141" i="143" a="1"/>
  <c r="U141" i="143" s="1"/>
  <c r="W140" i="143" a="1"/>
  <c r="W140" i="143" s="1"/>
  <c r="V140" i="143" a="1"/>
  <c r="V140" i="143" s="1"/>
  <c r="U140" i="143" a="1"/>
  <c r="U140" i="143" s="1"/>
  <c r="W139" i="143" a="1"/>
  <c r="W139" i="143" s="1"/>
  <c r="V139" i="143" a="1"/>
  <c r="V139" i="143" s="1"/>
  <c r="U139" i="143" a="1"/>
  <c r="U139" i="143" s="1"/>
  <c r="W138" i="143" a="1"/>
  <c r="W138" i="143" s="1"/>
  <c r="V138" i="143" a="1"/>
  <c r="V138" i="143" s="1"/>
  <c r="U138" i="143" a="1"/>
  <c r="U138" i="143" s="1"/>
  <c r="W137" i="143" a="1"/>
  <c r="W137" i="143" s="1"/>
  <c r="V137" i="143" a="1"/>
  <c r="V137" i="143" s="1"/>
  <c r="U137" i="143" a="1"/>
  <c r="U137" i="143" s="1"/>
  <c r="W136" i="143" a="1"/>
  <c r="W136" i="143" s="1"/>
  <c r="V136" i="143" a="1"/>
  <c r="V136" i="143" s="1"/>
  <c r="U136" i="143" a="1"/>
  <c r="U136" i="143" s="1"/>
  <c r="W135" i="143" a="1"/>
  <c r="W135" i="143" s="1"/>
  <c r="V135" i="143" a="1"/>
  <c r="V135" i="143" s="1"/>
  <c r="U135" i="143" a="1"/>
  <c r="U135" i="143" s="1"/>
  <c r="W134" i="143" a="1"/>
  <c r="W134" i="143" s="1"/>
  <c r="V134" i="143" a="1"/>
  <c r="V134" i="143" s="1"/>
  <c r="U134" i="143" a="1"/>
  <c r="U134" i="143" s="1"/>
  <c r="W133" i="143" a="1"/>
  <c r="W133" i="143" s="1"/>
  <c r="V133" i="143" a="1"/>
  <c r="V133" i="143" s="1"/>
  <c r="U133" i="143" a="1"/>
  <c r="U133" i="143" s="1"/>
  <c r="W132" i="143" a="1"/>
  <c r="W132" i="143" s="1"/>
  <c r="V132" i="143" a="1"/>
  <c r="V132" i="143" s="1"/>
  <c r="U132" i="143" a="1"/>
  <c r="U132" i="143" s="1"/>
  <c r="W131" i="143" a="1"/>
  <c r="W131" i="143" s="1"/>
  <c r="V131" i="143" a="1"/>
  <c r="V131" i="143" s="1"/>
  <c r="U131" i="143" a="1"/>
  <c r="U131" i="143" s="1"/>
  <c r="W130" i="143" a="1"/>
  <c r="W130" i="143" s="1"/>
  <c r="V130" i="143" a="1"/>
  <c r="V130" i="143" s="1"/>
  <c r="U130" i="143" a="1"/>
  <c r="U130" i="143" s="1"/>
  <c r="W129" i="143" a="1"/>
  <c r="W129" i="143" s="1"/>
  <c r="V129" i="143" a="1"/>
  <c r="V129" i="143" s="1"/>
  <c r="U129" i="143" a="1"/>
  <c r="U129" i="143" s="1"/>
  <c r="W128" i="143" a="1"/>
  <c r="W128" i="143" s="1"/>
  <c r="V128" i="143" a="1"/>
  <c r="V128" i="143" s="1"/>
  <c r="U128" i="143" a="1"/>
  <c r="U128" i="143" s="1"/>
  <c r="W127" i="143" a="1"/>
  <c r="W127" i="143" s="1"/>
  <c r="V127" i="143" a="1"/>
  <c r="V127" i="143" s="1"/>
  <c r="U127" i="143" a="1"/>
  <c r="U127" i="143" s="1"/>
  <c r="W126" i="143" a="1"/>
  <c r="W126" i="143" s="1"/>
  <c r="V126" i="143" a="1"/>
  <c r="V126" i="143" s="1"/>
  <c r="U126" i="143" a="1"/>
  <c r="U126" i="143" s="1"/>
  <c r="W125" i="143" a="1"/>
  <c r="W125" i="143" s="1"/>
  <c r="V125" i="143" a="1"/>
  <c r="V125" i="143" s="1"/>
  <c r="U125" i="143" a="1"/>
  <c r="U125" i="143" s="1"/>
  <c r="W124" i="143" a="1"/>
  <c r="W124" i="143" s="1"/>
  <c r="V124" i="143" a="1"/>
  <c r="V124" i="143" s="1"/>
  <c r="U124" i="143" a="1"/>
  <c r="U124" i="143" s="1"/>
  <c r="W123" i="143" a="1"/>
  <c r="W123" i="143" s="1"/>
  <c r="V123" i="143" a="1"/>
  <c r="V123" i="143" s="1"/>
  <c r="U123" i="143" a="1"/>
  <c r="U123" i="143" s="1"/>
  <c r="W122" i="143" a="1"/>
  <c r="W122" i="143" s="1"/>
  <c r="V122" i="143" a="1"/>
  <c r="V122" i="143" s="1"/>
  <c r="U122" i="143" a="1"/>
  <c r="U122" i="143" s="1"/>
  <c r="W121" i="143" a="1"/>
  <c r="W121" i="143" s="1"/>
  <c r="V121" i="143" a="1"/>
  <c r="V121" i="143" s="1"/>
  <c r="U121" i="143" a="1"/>
  <c r="U121" i="143" s="1"/>
  <c r="W120" i="143" a="1"/>
  <c r="W120" i="143" s="1"/>
  <c r="V120" i="143" a="1"/>
  <c r="V120" i="143" s="1"/>
  <c r="U120" i="143" a="1"/>
  <c r="U120" i="143" s="1"/>
  <c r="W119" i="143" a="1"/>
  <c r="W119" i="143" s="1"/>
  <c r="V119" i="143" a="1"/>
  <c r="V119" i="143" s="1"/>
  <c r="U119" i="143" a="1"/>
  <c r="U119" i="143" s="1"/>
  <c r="W118" i="143" a="1"/>
  <c r="W118" i="143" s="1"/>
  <c r="V118" i="143" a="1"/>
  <c r="V118" i="143" s="1"/>
  <c r="U118" i="143" a="1"/>
  <c r="U118" i="143" s="1"/>
  <c r="W117" i="143" a="1"/>
  <c r="W117" i="143" s="1"/>
  <c r="V117" i="143" a="1"/>
  <c r="V117" i="143" s="1"/>
  <c r="U117" i="143" a="1"/>
  <c r="U117" i="143" s="1"/>
  <c r="W116" i="143" a="1"/>
  <c r="W116" i="143" s="1"/>
  <c r="V116" i="143" a="1"/>
  <c r="V116" i="143" s="1"/>
  <c r="U116" i="143" a="1"/>
  <c r="U116" i="143" s="1"/>
  <c r="W115" i="143" a="1"/>
  <c r="W115" i="143" s="1"/>
  <c r="V115" i="143" a="1"/>
  <c r="V115" i="143" s="1"/>
  <c r="U115" i="143" a="1"/>
  <c r="U115" i="143" s="1"/>
  <c r="W114" i="143" a="1"/>
  <c r="W114" i="143" s="1"/>
  <c r="V114" i="143" a="1"/>
  <c r="V114" i="143" s="1"/>
  <c r="U114" i="143" a="1"/>
  <c r="U114" i="143" s="1"/>
  <c r="W113" i="143" a="1"/>
  <c r="W113" i="143" s="1"/>
  <c r="V113" i="143" a="1"/>
  <c r="V113" i="143" s="1"/>
  <c r="U113" i="143" a="1"/>
  <c r="U113" i="143" s="1"/>
  <c r="W112" i="143" a="1"/>
  <c r="W112" i="143" s="1"/>
  <c r="V112" i="143" a="1"/>
  <c r="V112" i="143" s="1"/>
  <c r="U112" i="143" a="1"/>
  <c r="U112" i="143" s="1"/>
  <c r="W111" i="143" a="1"/>
  <c r="W111" i="143" s="1"/>
  <c r="V111" i="143" a="1"/>
  <c r="V111" i="143" s="1"/>
  <c r="U111" i="143" a="1"/>
  <c r="U111" i="143" s="1"/>
  <c r="W110" i="143" a="1"/>
  <c r="W110" i="143" s="1"/>
  <c r="V110" i="143" a="1"/>
  <c r="V110" i="143" s="1"/>
  <c r="U110" i="143" a="1"/>
  <c r="U110" i="143" s="1"/>
  <c r="W109" i="143" a="1"/>
  <c r="W109" i="143" s="1"/>
  <c r="V109" i="143" a="1"/>
  <c r="V109" i="143" s="1"/>
  <c r="U109" i="143" a="1"/>
  <c r="U109" i="143" s="1"/>
  <c r="W108" i="143" a="1"/>
  <c r="W108" i="143" s="1"/>
  <c r="V108" i="143" a="1"/>
  <c r="V108" i="143" s="1"/>
  <c r="U108" i="143" a="1"/>
  <c r="U108" i="143" s="1"/>
  <c r="W107" i="143" a="1"/>
  <c r="W107" i="143" s="1"/>
  <c r="V107" i="143" a="1"/>
  <c r="V107" i="143" s="1"/>
  <c r="U107" i="143" a="1"/>
  <c r="U107" i="143" s="1"/>
  <c r="W106" i="143" a="1"/>
  <c r="W106" i="143" s="1"/>
  <c r="V106" i="143" a="1"/>
  <c r="V106" i="143" s="1"/>
  <c r="U106" i="143" a="1"/>
  <c r="U106" i="143" s="1"/>
  <c r="W105" i="143" a="1"/>
  <c r="W105" i="143" s="1"/>
  <c r="V105" i="143" a="1"/>
  <c r="V105" i="143" s="1"/>
  <c r="U105" i="143" a="1"/>
  <c r="U105" i="143" s="1"/>
  <c r="W104" i="143" a="1"/>
  <c r="W104" i="143" s="1"/>
  <c r="V104" i="143" a="1"/>
  <c r="V104" i="143" s="1"/>
  <c r="U104" i="143" a="1"/>
  <c r="U104" i="143" s="1"/>
  <c r="W103" i="143" a="1"/>
  <c r="W103" i="143" s="1"/>
  <c r="V103" i="143" a="1"/>
  <c r="V103" i="143" s="1"/>
  <c r="U103" i="143" a="1"/>
  <c r="U103" i="143" s="1"/>
  <c r="W102" i="143" a="1"/>
  <c r="W102" i="143" s="1"/>
  <c r="V102" i="143" a="1"/>
  <c r="V102" i="143" s="1"/>
  <c r="U102" i="143" a="1"/>
  <c r="U102" i="143" s="1"/>
  <c r="W101" i="143" a="1"/>
  <c r="W101" i="143" s="1"/>
  <c r="V101" i="143" a="1"/>
  <c r="V101" i="143" s="1"/>
  <c r="U101" i="143" a="1"/>
  <c r="U101" i="143" s="1"/>
  <c r="W100" i="143" a="1"/>
  <c r="W100" i="143" s="1"/>
  <c r="V100" i="143" a="1"/>
  <c r="V100" i="143" s="1"/>
  <c r="U100" i="143" a="1"/>
  <c r="U100" i="143" s="1"/>
  <c r="W99" i="143" a="1"/>
  <c r="W99" i="143" s="1"/>
  <c r="V99" i="143" a="1"/>
  <c r="V99" i="143" s="1"/>
  <c r="U99" i="143" a="1"/>
  <c r="U99" i="143" s="1"/>
  <c r="W98" i="143" a="1"/>
  <c r="W98" i="143" s="1"/>
  <c r="V98" i="143" a="1"/>
  <c r="V98" i="143" s="1"/>
  <c r="U98" i="143" a="1"/>
  <c r="U98" i="143" s="1"/>
  <c r="W97" i="143" a="1"/>
  <c r="W97" i="143" s="1"/>
  <c r="V97" i="143" a="1"/>
  <c r="V97" i="143" s="1"/>
  <c r="U97" i="143" a="1"/>
  <c r="U97" i="143" s="1"/>
  <c r="W96" i="143" a="1"/>
  <c r="W96" i="143" s="1"/>
  <c r="V96" i="143" a="1"/>
  <c r="V96" i="143" s="1"/>
  <c r="U96" i="143" a="1"/>
  <c r="U96" i="143" s="1"/>
  <c r="W95" i="143" a="1"/>
  <c r="W95" i="143" s="1"/>
  <c r="V95" i="143" a="1"/>
  <c r="V95" i="143" s="1"/>
  <c r="U95" i="143" a="1"/>
  <c r="U95" i="143" s="1"/>
  <c r="W94" i="143" a="1"/>
  <c r="W94" i="143" s="1"/>
  <c r="V94" i="143" a="1"/>
  <c r="V94" i="143" s="1"/>
  <c r="U94" i="143" a="1"/>
  <c r="U94" i="143" s="1"/>
  <c r="W93" i="143" a="1"/>
  <c r="W93" i="143" s="1"/>
  <c r="V93" i="143" a="1"/>
  <c r="V93" i="143" s="1"/>
  <c r="U93" i="143" a="1"/>
  <c r="U93" i="143" s="1"/>
  <c r="W92" i="143" a="1"/>
  <c r="W92" i="143" s="1"/>
  <c r="V92" i="143" a="1"/>
  <c r="V92" i="143" s="1"/>
  <c r="U92" i="143" a="1"/>
  <c r="U92" i="143" s="1"/>
  <c r="W91" i="143" a="1"/>
  <c r="W91" i="143" s="1"/>
  <c r="V91" i="143" a="1"/>
  <c r="V91" i="143" s="1"/>
  <c r="U91" i="143" a="1"/>
  <c r="U91" i="143" s="1"/>
  <c r="W90" i="143" a="1"/>
  <c r="W90" i="143" s="1"/>
  <c r="V90" i="143" a="1"/>
  <c r="V90" i="143" s="1"/>
  <c r="U90" i="143" a="1"/>
  <c r="U90" i="143" s="1"/>
  <c r="W89" i="143" a="1"/>
  <c r="W89" i="143" s="1"/>
  <c r="V89" i="143" a="1"/>
  <c r="V89" i="143" s="1"/>
  <c r="U89" i="143" a="1"/>
  <c r="U89" i="143" s="1"/>
  <c r="W88" i="143" a="1"/>
  <c r="W88" i="143" s="1"/>
  <c r="V88" i="143" a="1"/>
  <c r="V88" i="143" s="1"/>
  <c r="U88" i="143" a="1"/>
  <c r="U88" i="143" s="1"/>
  <c r="W87" i="143" a="1"/>
  <c r="W87" i="143" s="1"/>
  <c r="V87" i="143" a="1"/>
  <c r="V87" i="143" s="1"/>
  <c r="U87" i="143" a="1"/>
  <c r="U87" i="143" s="1"/>
  <c r="W86" i="143" a="1"/>
  <c r="W86" i="143" s="1"/>
  <c r="V86" i="143" a="1"/>
  <c r="V86" i="143" s="1"/>
  <c r="U86" i="143" a="1"/>
  <c r="U86" i="143" s="1"/>
  <c r="W85" i="143" a="1"/>
  <c r="W85" i="143" s="1"/>
  <c r="V85" i="143" a="1"/>
  <c r="V85" i="143" s="1"/>
  <c r="U85" i="143" a="1"/>
  <c r="U85" i="143" s="1"/>
  <c r="W84" i="143" a="1"/>
  <c r="W84" i="143" s="1"/>
  <c r="V84" i="143" a="1"/>
  <c r="V84" i="143" s="1"/>
  <c r="U84" i="143" a="1"/>
  <c r="U84" i="143" s="1"/>
  <c r="W83" i="143" a="1"/>
  <c r="W83" i="143" s="1"/>
  <c r="V83" i="143" a="1"/>
  <c r="V83" i="143" s="1"/>
  <c r="U83" i="143" a="1"/>
  <c r="U83" i="143" s="1"/>
  <c r="W82" i="143" a="1"/>
  <c r="W82" i="143" s="1"/>
  <c r="V82" i="143" a="1"/>
  <c r="V82" i="143" s="1"/>
  <c r="U82" i="143" a="1"/>
  <c r="U82" i="143" s="1"/>
  <c r="W81" i="143" a="1"/>
  <c r="W81" i="143" s="1"/>
  <c r="V81" i="143" a="1"/>
  <c r="V81" i="143" s="1"/>
  <c r="U81" i="143" a="1"/>
  <c r="U81" i="143" s="1"/>
  <c r="W80" i="143" a="1"/>
  <c r="W80" i="143" s="1"/>
  <c r="V80" i="143" a="1"/>
  <c r="V80" i="143" s="1"/>
  <c r="U80" i="143" a="1"/>
  <c r="U80" i="143" s="1"/>
  <c r="W79" i="143" a="1"/>
  <c r="W79" i="143" s="1"/>
  <c r="V79" i="143" a="1"/>
  <c r="V79" i="143" s="1"/>
  <c r="U79" i="143" a="1"/>
  <c r="U79" i="143" s="1"/>
  <c r="W78" i="143" a="1"/>
  <c r="W78" i="143" s="1"/>
  <c r="V78" i="143" a="1"/>
  <c r="V78" i="143" s="1"/>
  <c r="U78" i="143" a="1"/>
  <c r="U78" i="143" s="1"/>
  <c r="W77" i="143" a="1"/>
  <c r="W77" i="143" s="1"/>
  <c r="V77" i="143" a="1"/>
  <c r="V77" i="143" s="1"/>
  <c r="U77" i="143" a="1"/>
  <c r="U77" i="143" s="1"/>
  <c r="W76" i="143" a="1"/>
  <c r="W76" i="143" s="1"/>
  <c r="V76" i="143" a="1"/>
  <c r="V76" i="143" s="1"/>
  <c r="U76" i="143" a="1"/>
  <c r="U76" i="143" s="1"/>
  <c r="W75" i="143" a="1"/>
  <c r="W75" i="143" s="1"/>
  <c r="V75" i="143" a="1"/>
  <c r="V75" i="143" s="1"/>
  <c r="U75" i="143" a="1"/>
  <c r="U75" i="143" s="1"/>
  <c r="W74" i="143" a="1"/>
  <c r="W74" i="143" s="1"/>
  <c r="V74" i="143" a="1"/>
  <c r="V74" i="143" s="1"/>
  <c r="U74" i="143" a="1"/>
  <c r="U74" i="143" s="1"/>
  <c r="W73" i="143" a="1"/>
  <c r="W73" i="143" s="1"/>
  <c r="V73" i="143" a="1"/>
  <c r="V73" i="143" s="1"/>
  <c r="U73" i="143" a="1"/>
  <c r="U73" i="143" s="1"/>
  <c r="W72" i="143" a="1"/>
  <c r="W72" i="143" s="1"/>
  <c r="V72" i="143" a="1"/>
  <c r="V72" i="143" s="1"/>
  <c r="U72" i="143" a="1"/>
  <c r="U72" i="143" s="1"/>
  <c r="W71" i="143" a="1"/>
  <c r="W71" i="143" s="1"/>
  <c r="V71" i="143" a="1"/>
  <c r="V71" i="143" s="1"/>
  <c r="U71" i="143" a="1"/>
  <c r="U71" i="143" s="1"/>
  <c r="W70" i="143" a="1"/>
  <c r="W70" i="143" s="1"/>
  <c r="V70" i="143" a="1"/>
  <c r="V70" i="143" s="1"/>
  <c r="U70" i="143" a="1"/>
  <c r="U70" i="143" s="1"/>
  <c r="W69" i="143" a="1"/>
  <c r="W69" i="143" s="1"/>
  <c r="V69" i="143" a="1"/>
  <c r="V69" i="143" s="1"/>
  <c r="U69" i="143" a="1"/>
  <c r="U69" i="143" s="1"/>
  <c r="W68" i="143" a="1"/>
  <c r="W68" i="143" s="1"/>
  <c r="V68" i="143" a="1"/>
  <c r="V68" i="143" s="1"/>
  <c r="U68" i="143" a="1"/>
  <c r="U68" i="143" s="1"/>
  <c r="W67" i="143" a="1"/>
  <c r="W67" i="143" s="1"/>
  <c r="V67" i="143" a="1"/>
  <c r="V67" i="143" s="1"/>
  <c r="U67" i="143" a="1"/>
  <c r="U67" i="143" s="1"/>
  <c r="W66" i="143" a="1"/>
  <c r="W66" i="143" s="1"/>
  <c r="V66" i="143" a="1"/>
  <c r="V66" i="143" s="1"/>
  <c r="U66" i="143" a="1"/>
  <c r="U66" i="143" s="1"/>
  <c r="W65" i="143" a="1"/>
  <c r="W65" i="143" s="1"/>
  <c r="V65" i="143" a="1"/>
  <c r="V65" i="143" s="1"/>
  <c r="U65" i="143" a="1"/>
  <c r="U65" i="143" s="1"/>
  <c r="W64" i="143" a="1"/>
  <c r="W64" i="143" s="1"/>
  <c r="V64" i="143" a="1"/>
  <c r="V64" i="143" s="1"/>
  <c r="U64" i="143" a="1"/>
  <c r="U64" i="143" s="1"/>
  <c r="W63" i="143" a="1"/>
  <c r="W63" i="143" s="1"/>
  <c r="V63" i="143" a="1"/>
  <c r="V63" i="143" s="1"/>
  <c r="U63" i="143" a="1"/>
  <c r="U63" i="143" s="1"/>
  <c r="W62" i="143" a="1"/>
  <c r="W62" i="143" s="1"/>
  <c r="V62" i="143" a="1"/>
  <c r="V62" i="143" s="1"/>
  <c r="U62" i="143" a="1"/>
  <c r="U62" i="143" s="1"/>
  <c r="W61" i="143" a="1"/>
  <c r="W61" i="143" s="1"/>
  <c r="V61" i="143" a="1"/>
  <c r="V61" i="143" s="1"/>
  <c r="U61" i="143" a="1"/>
  <c r="U61" i="143" s="1"/>
  <c r="W60" i="143" a="1"/>
  <c r="W60" i="143" s="1"/>
  <c r="V60" i="143" a="1"/>
  <c r="V60" i="143" s="1"/>
  <c r="U60" i="143" a="1"/>
  <c r="U60" i="143" s="1"/>
  <c r="W59" i="143" a="1"/>
  <c r="W59" i="143" s="1"/>
  <c r="V59" i="143" a="1"/>
  <c r="V59" i="143" s="1"/>
  <c r="U59" i="143" a="1"/>
  <c r="U59" i="143" s="1"/>
  <c r="W58" i="143" a="1"/>
  <c r="W58" i="143" s="1"/>
  <c r="V58" i="143" a="1"/>
  <c r="V58" i="143" s="1"/>
  <c r="U58" i="143" a="1"/>
  <c r="U58" i="143" s="1"/>
  <c r="W57" i="143" a="1"/>
  <c r="W57" i="143" s="1"/>
  <c r="V57" i="143" a="1"/>
  <c r="V57" i="143" s="1"/>
  <c r="U57" i="143" a="1"/>
  <c r="U57" i="143" s="1"/>
  <c r="W56" i="143" a="1"/>
  <c r="W56" i="143" s="1"/>
  <c r="V56" i="143" a="1"/>
  <c r="V56" i="143" s="1"/>
  <c r="U56" i="143" a="1"/>
  <c r="U56" i="143" s="1"/>
  <c r="W55" i="143" a="1"/>
  <c r="W55" i="143" s="1"/>
  <c r="V55" i="143" a="1"/>
  <c r="V55" i="143" s="1"/>
  <c r="U55" i="143" a="1"/>
  <c r="U55" i="143" s="1"/>
  <c r="W54" i="143" a="1"/>
  <c r="W54" i="143" s="1"/>
  <c r="V54" i="143" a="1"/>
  <c r="V54" i="143" s="1"/>
  <c r="U54" i="143" a="1"/>
  <c r="U54" i="143" s="1"/>
  <c r="W53" i="143" a="1"/>
  <c r="W53" i="143" s="1"/>
  <c r="V53" i="143" a="1"/>
  <c r="V53" i="143" s="1"/>
  <c r="U53" i="143" a="1"/>
  <c r="U53" i="143" s="1"/>
  <c r="W52" i="143" a="1"/>
  <c r="W52" i="143" s="1"/>
  <c r="V52" i="143" a="1"/>
  <c r="V52" i="143" s="1"/>
  <c r="U52" i="143" a="1"/>
  <c r="U52" i="143" s="1"/>
  <c r="W51" i="143" a="1"/>
  <c r="W51" i="143" s="1"/>
  <c r="V51" i="143" a="1"/>
  <c r="V51" i="143" s="1"/>
  <c r="U51" i="143" a="1"/>
  <c r="U51" i="143" s="1"/>
  <c r="W50" i="143" a="1"/>
  <c r="W50" i="143" s="1"/>
  <c r="V50" i="143" a="1"/>
  <c r="V50" i="143" s="1"/>
  <c r="U50" i="143" a="1"/>
  <c r="U50" i="143" s="1"/>
  <c r="W49" i="143" a="1"/>
  <c r="W49" i="143" s="1"/>
  <c r="V49" i="143" a="1"/>
  <c r="V49" i="143" s="1"/>
  <c r="U49" i="143" a="1"/>
  <c r="U49" i="143" s="1"/>
  <c r="W48" i="143" a="1"/>
  <c r="W48" i="143" s="1"/>
  <c r="V48" i="143" a="1"/>
  <c r="V48" i="143" s="1"/>
  <c r="U48" i="143" a="1"/>
  <c r="U48" i="143" s="1"/>
  <c r="W47" i="143" a="1"/>
  <c r="W47" i="143" s="1"/>
  <c r="V47" i="143" a="1"/>
  <c r="V47" i="143" s="1"/>
  <c r="U47" i="143" a="1"/>
  <c r="U47" i="143" s="1"/>
  <c r="W46" i="143" a="1"/>
  <c r="W46" i="143" s="1"/>
  <c r="V46" i="143" a="1"/>
  <c r="V46" i="143" s="1"/>
  <c r="U46" i="143" a="1"/>
  <c r="U46" i="143" s="1"/>
  <c r="W45" i="143" a="1"/>
  <c r="W45" i="143" s="1"/>
  <c r="V45" i="143" a="1"/>
  <c r="V45" i="143" s="1"/>
  <c r="U45" i="143" a="1"/>
  <c r="U45" i="143" s="1"/>
  <c r="W44" i="143" a="1"/>
  <c r="W44" i="143" s="1"/>
  <c r="V44" i="143" a="1"/>
  <c r="V44" i="143" s="1"/>
  <c r="U44" i="143" a="1"/>
  <c r="U44" i="143" s="1"/>
  <c r="W43" i="143" a="1"/>
  <c r="W43" i="143" s="1"/>
  <c r="V43" i="143" a="1"/>
  <c r="V43" i="143" s="1"/>
  <c r="U43" i="143" a="1"/>
  <c r="U43" i="143" s="1"/>
  <c r="W42" i="143" a="1"/>
  <c r="W42" i="143" s="1"/>
  <c r="V42" i="143" a="1"/>
  <c r="V42" i="143" s="1"/>
  <c r="U42" i="143" a="1"/>
  <c r="U42" i="143" s="1"/>
  <c r="W41" i="143" a="1"/>
  <c r="W41" i="143" s="1"/>
  <c r="V41" i="143" a="1"/>
  <c r="V41" i="143" s="1"/>
  <c r="U41" i="143" a="1"/>
  <c r="U41" i="143" s="1"/>
  <c r="AL51" i="258"/>
  <c r="AL50" i="258"/>
  <c r="AL48" i="258"/>
  <c r="AJ48" i="258"/>
  <c r="AI48" i="258"/>
  <c r="AH48" i="258"/>
  <c r="AG48" i="258"/>
  <c r="AF48" i="258"/>
  <c r="AE48" i="258"/>
  <c r="AD48" i="258"/>
  <c r="AC48" i="258"/>
  <c r="AB48" i="258"/>
  <c r="AA48" i="258"/>
  <c r="Z48" i="258"/>
  <c r="Y48" i="258"/>
  <c r="X48" i="258"/>
  <c r="W48" i="258"/>
  <c r="V48" i="258"/>
  <c r="U48" i="258"/>
  <c r="T48" i="258"/>
  <c r="S48" i="258"/>
  <c r="R48" i="258"/>
  <c r="Q48" i="258"/>
  <c r="P48" i="258"/>
  <c r="O48" i="258"/>
  <c r="N48" i="258"/>
  <c r="M48" i="258"/>
  <c r="L48" i="258"/>
  <c r="K48" i="258"/>
  <c r="J48" i="258"/>
  <c r="I48" i="258"/>
  <c r="H48" i="258"/>
  <c r="G48" i="258"/>
  <c r="F48" i="258"/>
  <c r="AM47" i="258"/>
  <c r="AL47" i="258"/>
  <c r="AM46" i="258"/>
  <c r="AL46" i="258"/>
  <c r="AL45" i="258"/>
  <c r="AM44" i="258"/>
  <c r="AL44" i="258"/>
  <c r="AM43" i="258"/>
  <c r="AL43" i="258"/>
  <c r="AM42" i="258"/>
  <c r="AL42" i="258"/>
  <c r="AM41" i="258"/>
  <c r="AL41" i="258"/>
  <c r="K194" i="145" s="1"/>
  <c r="AM40" i="258"/>
  <c r="AL40" i="258"/>
  <c r="K193" i="145" s="1"/>
  <c r="AM39" i="258"/>
  <c r="AM48" i="258" s="1"/>
  <c r="AL39" i="258"/>
  <c r="K192" i="145" s="1"/>
  <c r="AM38" i="258"/>
  <c r="AL38" i="258"/>
  <c r="K190" i="145" s="1"/>
  <c r="AM37" i="258"/>
  <c r="AL37" i="258"/>
  <c r="K189" i="145" s="1"/>
  <c r="AM36" i="258"/>
  <c r="AL36" i="258"/>
  <c r="K163" i="145" s="1"/>
  <c r="AM35" i="258"/>
  <c r="AL35" i="258"/>
  <c r="AM34" i="258"/>
  <c r="AL34" i="258"/>
  <c r="AL31" i="258"/>
  <c r="K124" i="145" s="1"/>
  <c r="AJ31" i="258"/>
  <c r="AI31" i="258"/>
  <c r="AH31" i="258"/>
  <c r="AG31" i="258"/>
  <c r="AF31" i="258"/>
  <c r="AE31" i="258"/>
  <c r="AD31" i="258"/>
  <c r="AC31" i="258"/>
  <c r="AB31" i="258"/>
  <c r="AA31" i="258"/>
  <c r="Z31" i="258"/>
  <c r="Y31" i="258"/>
  <c r="X31" i="258"/>
  <c r="W31" i="258"/>
  <c r="V31" i="258"/>
  <c r="U31" i="258"/>
  <c r="T31" i="258"/>
  <c r="S31" i="258"/>
  <c r="R31" i="258"/>
  <c r="Q31" i="258"/>
  <c r="P31" i="258"/>
  <c r="O31" i="258"/>
  <c r="N31" i="258"/>
  <c r="M31" i="258"/>
  <c r="L31" i="258"/>
  <c r="K31" i="258"/>
  <c r="J31" i="258"/>
  <c r="I31" i="258"/>
  <c r="H31" i="258"/>
  <c r="G31" i="258"/>
  <c r="F31" i="258"/>
  <c r="AG26" i="258"/>
  <c r="AF26" i="258"/>
  <c r="AE26" i="258"/>
  <c r="AD26" i="258"/>
  <c r="AC26" i="258"/>
  <c r="AB26" i="258"/>
  <c r="AA26" i="258"/>
  <c r="Z26" i="258"/>
  <c r="Y26" i="258"/>
  <c r="X26" i="258"/>
  <c r="W26" i="258"/>
  <c r="V26" i="258"/>
  <c r="U26" i="258"/>
  <c r="T26" i="258"/>
  <c r="S26" i="258"/>
  <c r="R26" i="258"/>
  <c r="Q26" i="258"/>
  <c r="P26" i="258"/>
  <c r="O26" i="258"/>
  <c r="N26" i="258"/>
  <c r="M26" i="258"/>
  <c r="L26" i="258"/>
  <c r="K26" i="258"/>
  <c r="J26" i="258"/>
  <c r="I26" i="258"/>
  <c r="H26" i="258"/>
  <c r="G26" i="258"/>
  <c r="F26" i="258"/>
  <c r="AL25" i="258"/>
  <c r="K80" i="145" s="1"/>
  <c r="AL24" i="258"/>
  <c r="K82" i="145" s="1"/>
  <c r="AL23" i="258"/>
  <c r="K79" i="145" s="1"/>
  <c r="F10" i="258"/>
  <c r="F16" i="258" s="1"/>
  <c r="F14" i="258" s="1"/>
  <c r="AL51" i="257"/>
  <c r="AL50" i="257"/>
  <c r="AJ48" i="257"/>
  <c r="AI48" i="257"/>
  <c r="AH48" i="257"/>
  <c r="AG48" i="257"/>
  <c r="AF48" i="257"/>
  <c r="AE48" i="257"/>
  <c r="AD48" i="257"/>
  <c r="AC48" i="257"/>
  <c r="AB48" i="257"/>
  <c r="AA48" i="257"/>
  <c r="Z48" i="257"/>
  <c r="Y48" i="257"/>
  <c r="X48" i="257"/>
  <c r="W48" i="257"/>
  <c r="V48" i="257"/>
  <c r="U48" i="257"/>
  <c r="T48" i="257"/>
  <c r="S48" i="257"/>
  <c r="R48" i="257"/>
  <c r="Q48" i="257"/>
  <c r="P48" i="257"/>
  <c r="O48" i="257"/>
  <c r="N48" i="257"/>
  <c r="M48" i="257"/>
  <c r="L48" i="257"/>
  <c r="K48" i="257"/>
  <c r="J48" i="257"/>
  <c r="I48" i="257"/>
  <c r="H48" i="257"/>
  <c r="G48" i="257"/>
  <c r="F48" i="257"/>
  <c r="AM47" i="257"/>
  <c r="AL47" i="257"/>
  <c r="AM46" i="257"/>
  <c r="AL46" i="257"/>
  <c r="AL45" i="257"/>
  <c r="AM44" i="257"/>
  <c r="AL44" i="257"/>
  <c r="AM43" i="257"/>
  <c r="AL43" i="257"/>
  <c r="AM42" i="257"/>
  <c r="AL42" i="257"/>
  <c r="AM41" i="257"/>
  <c r="AL41" i="257"/>
  <c r="L194" i="145" s="1"/>
  <c r="AM40" i="257"/>
  <c r="AL40" i="257"/>
  <c r="L193" i="145" s="1"/>
  <c r="AM39" i="257"/>
  <c r="AL39" i="257"/>
  <c r="L192" i="145" s="1"/>
  <c r="AM38" i="257"/>
  <c r="AL38" i="257"/>
  <c r="L190" i="145" s="1"/>
  <c r="AM37" i="257"/>
  <c r="AL37" i="257"/>
  <c r="L189" i="145" s="1"/>
  <c r="AM36" i="257"/>
  <c r="AL36" i="257"/>
  <c r="L163" i="145" s="1"/>
  <c r="AM35" i="257"/>
  <c r="AL35" i="257"/>
  <c r="L161" i="145" s="1"/>
  <c r="AM34" i="257"/>
  <c r="AL34" i="257"/>
  <c r="AJ31" i="257"/>
  <c r="AI31" i="257"/>
  <c r="AH31" i="257"/>
  <c r="AG31" i="257"/>
  <c r="AF31" i="257"/>
  <c r="AE31" i="257"/>
  <c r="AD31" i="257"/>
  <c r="AC31" i="257"/>
  <c r="AB31" i="257"/>
  <c r="AA31" i="257"/>
  <c r="Z31" i="257"/>
  <c r="Y31" i="257"/>
  <c r="X31" i="257"/>
  <c r="W31" i="257"/>
  <c r="V31" i="257"/>
  <c r="U31" i="257"/>
  <c r="T31" i="257"/>
  <c r="S31" i="257"/>
  <c r="R31" i="257"/>
  <c r="Q31" i="257"/>
  <c r="P31" i="257"/>
  <c r="O31" i="257"/>
  <c r="N31" i="257"/>
  <c r="M31" i="257"/>
  <c r="L31" i="257"/>
  <c r="K31" i="257"/>
  <c r="J31" i="257"/>
  <c r="I31" i="257"/>
  <c r="H31" i="257"/>
  <c r="G31" i="257"/>
  <c r="F31" i="257"/>
  <c r="AG26" i="257"/>
  <c r="AF26" i="257"/>
  <c r="AE26" i="257"/>
  <c r="AD26" i="257"/>
  <c r="AC26" i="257"/>
  <c r="AB26" i="257"/>
  <c r="AA26" i="257"/>
  <c r="Z26" i="257"/>
  <c r="Y26" i="257"/>
  <c r="X26" i="257"/>
  <c r="W26" i="257"/>
  <c r="V26" i="257"/>
  <c r="U26" i="257"/>
  <c r="T26" i="257"/>
  <c r="S26" i="257"/>
  <c r="R26" i="257"/>
  <c r="Q26" i="257"/>
  <c r="P26" i="257"/>
  <c r="O26" i="257"/>
  <c r="N26" i="257"/>
  <c r="M26" i="257"/>
  <c r="L26" i="257"/>
  <c r="K26" i="257"/>
  <c r="J26" i="257"/>
  <c r="I26" i="257"/>
  <c r="H26" i="257"/>
  <c r="G26" i="257"/>
  <c r="F26" i="257"/>
  <c r="AL25" i="257"/>
  <c r="L80" i="145" s="1"/>
  <c r="AL24" i="257"/>
  <c r="L82" i="145" s="1"/>
  <c r="AL23" i="257"/>
  <c r="L79" i="145" s="1"/>
  <c r="F10" i="257"/>
  <c r="F16" i="257" s="1"/>
  <c r="G16" i="257" s="1"/>
  <c r="H16" i="257" s="1"/>
  <c r="AL51" i="256"/>
  <c r="AL50" i="256"/>
  <c r="AJ48" i="256"/>
  <c r="AI48" i="256"/>
  <c r="AH48" i="256"/>
  <c r="AG48" i="256"/>
  <c r="AF48" i="256"/>
  <c r="AE48" i="256"/>
  <c r="AD48" i="256"/>
  <c r="AC48" i="256"/>
  <c r="AB48" i="256"/>
  <c r="AA48" i="256"/>
  <c r="Z48" i="256"/>
  <c r="Y48" i="256"/>
  <c r="X48" i="256"/>
  <c r="W48" i="256"/>
  <c r="V48" i="256"/>
  <c r="U48" i="256"/>
  <c r="T48" i="256"/>
  <c r="S48" i="256"/>
  <c r="R48" i="256"/>
  <c r="Q48" i="256"/>
  <c r="P48" i="256"/>
  <c r="O48" i="256"/>
  <c r="N48" i="256"/>
  <c r="M48" i="256"/>
  <c r="L48" i="256"/>
  <c r="K48" i="256"/>
  <c r="J48" i="256"/>
  <c r="I48" i="256"/>
  <c r="H48" i="256"/>
  <c r="G48" i="256"/>
  <c r="F48" i="256"/>
  <c r="AM47" i="256"/>
  <c r="AL47" i="256"/>
  <c r="AM46" i="256"/>
  <c r="AL46" i="256"/>
  <c r="AL45" i="256"/>
  <c r="AM44" i="256"/>
  <c r="AL44" i="256"/>
  <c r="AM43" i="256"/>
  <c r="AL43" i="256"/>
  <c r="AM42" i="256"/>
  <c r="AL42" i="256"/>
  <c r="AM41" i="256"/>
  <c r="AL41" i="256"/>
  <c r="M194" i="145" s="1"/>
  <c r="AM40" i="256"/>
  <c r="AL40" i="256"/>
  <c r="M193" i="145" s="1"/>
  <c r="AM39" i="256"/>
  <c r="AL39" i="256"/>
  <c r="M192" i="145" s="1"/>
  <c r="AM38" i="256"/>
  <c r="AL38" i="256"/>
  <c r="M190" i="145" s="1"/>
  <c r="AM37" i="256"/>
  <c r="AL37" i="256"/>
  <c r="M189" i="145" s="1"/>
  <c r="AM36" i="256"/>
  <c r="AL36" i="256"/>
  <c r="M163" i="145" s="1"/>
  <c r="AM35" i="256"/>
  <c r="AL35" i="256"/>
  <c r="M161" i="145" s="1"/>
  <c r="AM34" i="256"/>
  <c r="AL34" i="256"/>
  <c r="AJ31" i="256"/>
  <c r="AI31" i="256"/>
  <c r="AH31" i="256"/>
  <c r="AG31" i="256"/>
  <c r="AF31" i="256"/>
  <c r="AE31" i="256"/>
  <c r="AD31" i="256"/>
  <c r="AC31" i="256"/>
  <c r="AB31" i="256"/>
  <c r="AA31" i="256"/>
  <c r="Z31" i="256"/>
  <c r="Y31" i="256"/>
  <c r="X31" i="256"/>
  <c r="W31" i="256"/>
  <c r="V31" i="256"/>
  <c r="U31" i="256"/>
  <c r="T31" i="256"/>
  <c r="S31" i="256"/>
  <c r="R31" i="256"/>
  <c r="Q31" i="256"/>
  <c r="P31" i="256"/>
  <c r="O31" i="256"/>
  <c r="N31" i="256"/>
  <c r="M31" i="256"/>
  <c r="L31" i="256"/>
  <c r="K31" i="256"/>
  <c r="J31" i="256"/>
  <c r="I31" i="256"/>
  <c r="H31" i="256"/>
  <c r="G31" i="256"/>
  <c r="F31" i="256"/>
  <c r="AG26" i="256"/>
  <c r="AF26" i="256"/>
  <c r="AE26" i="256"/>
  <c r="AD26" i="256"/>
  <c r="AC26" i="256"/>
  <c r="AB26" i="256"/>
  <c r="AA26" i="256"/>
  <c r="Z26" i="256"/>
  <c r="Y26" i="256"/>
  <c r="X26" i="256"/>
  <c r="W26" i="256"/>
  <c r="V26" i="256"/>
  <c r="U26" i="256"/>
  <c r="T26" i="256"/>
  <c r="S26" i="256"/>
  <c r="R26" i="256"/>
  <c r="Q26" i="256"/>
  <c r="P26" i="256"/>
  <c r="O26" i="256"/>
  <c r="N26" i="256"/>
  <c r="M26" i="256"/>
  <c r="L26" i="256"/>
  <c r="K26" i="256"/>
  <c r="J26" i="256"/>
  <c r="I26" i="256"/>
  <c r="H26" i="256"/>
  <c r="G26" i="256"/>
  <c r="F26" i="256"/>
  <c r="AL25" i="256"/>
  <c r="M80" i="145" s="1"/>
  <c r="AL24" i="256"/>
  <c r="M82" i="145" s="1"/>
  <c r="AL23" i="256"/>
  <c r="M79" i="145" s="1"/>
  <c r="F10" i="256"/>
  <c r="F16" i="256" s="1"/>
  <c r="AL51" i="255"/>
  <c r="AL50" i="255"/>
  <c r="AJ48" i="255"/>
  <c r="AI48" i="255"/>
  <c r="AH48" i="255"/>
  <c r="AG48" i="255"/>
  <c r="AF48" i="255"/>
  <c r="AE48" i="255"/>
  <c r="AD48" i="255"/>
  <c r="AC48" i="255"/>
  <c r="AB48" i="255"/>
  <c r="AA48" i="255"/>
  <c r="Z48" i="255"/>
  <c r="Y48" i="255"/>
  <c r="X48" i="255"/>
  <c r="W48" i="255"/>
  <c r="V48" i="255"/>
  <c r="U48" i="255"/>
  <c r="T48" i="255"/>
  <c r="S48" i="255"/>
  <c r="R48" i="255"/>
  <c r="Q48" i="255"/>
  <c r="P48" i="255"/>
  <c r="O48" i="255"/>
  <c r="N48" i="255"/>
  <c r="M48" i="255"/>
  <c r="L48" i="255"/>
  <c r="K48" i="255"/>
  <c r="J48" i="255"/>
  <c r="I48" i="255"/>
  <c r="H48" i="255"/>
  <c r="G48" i="255"/>
  <c r="F48" i="255"/>
  <c r="AM47" i="255"/>
  <c r="AL47" i="255"/>
  <c r="AM46" i="255"/>
  <c r="AL46" i="255"/>
  <c r="AL45" i="255"/>
  <c r="AM44" i="255"/>
  <c r="AL44" i="255"/>
  <c r="AM43" i="255"/>
  <c r="AL43" i="255"/>
  <c r="AM42" i="255"/>
  <c r="AL42" i="255"/>
  <c r="AM41" i="255"/>
  <c r="AL41" i="255"/>
  <c r="N194" i="145" s="1"/>
  <c r="AM40" i="255"/>
  <c r="AL40" i="255"/>
  <c r="N193" i="145" s="1"/>
  <c r="AM39" i="255"/>
  <c r="AL39" i="255"/>
  <c r="N192" i="145" s="1"/>
  <c r="AM38" i="255"/>
  <c r="AL38" i="255"/>
  <c r="AM37" i="255"/>
  <c r="AL37" i="255"/>
  <c r="N189" i="145" s="1"/>
  <c r="AM36" i="255"/>
  <c r="AL36" i="255"/>
  <c r="N163" i="145" s="1"/>
  <c r="AM35" i="255"/>
  <c r="AL35" i="255"/>
  <c r="N161" i="145" s="1"/>
  <c r="AM34" i="255"/>
  <c r="AL34" i="255"/>
  <c r="AJ31" i="255"/>
  <c r="AI31" i="255"/>
  <c r="AH31" i="255"/>
  <c r="AG31" i="255"/>
  <c r="AF31" i="255"/>
  <c r="AE31" i="255"/>
  <c r="AD31" i="255"/>
  <c r="AC31" i="255"/>
  <c r="AB31" i="255"/>
  <c r="AA31" i="255"/>
  <c r="Z31" i="255"/>
  <c r="Y31" i="255"/>
  <c r="X31" i="255"/>
  <c r="W31" i="255"/>
  <c r="V31" i="255"/>
  <c r="U31" i="255"/>
  <c r="T31" i="255"/>
  <c r="S31" i="255"/>
  <c r="AL31" i="255" s="1"/>
  <c r="N124" i="145" s="1"/>
  <c r="R31" i="255"/>
  <c r="Q31" i="255"/>
  <c r="P31" i="255"/>
  <c r="O31" i="255"/>
  <c r="N31" i="255"/>
  <c r="M31" i="255"/>
  <c r="L31" i="255"/>
  <c r="K31" i="255"/>
  <c r="J31" i="255"/>
  <c r="I31" i="255"/>
  <c r="H31" i="255"/>
  <c r="G31" i="255"/>
  <c r="F31" i="255"/>
  <c r="AG26" i="255"/>
  <c r="AF26" i="255"/>
  <c r="AE26" i="255"/>
  <c r="AD26" i="255"/>
  <c r="AC26" i="255"/>
  <c r="AB26" i="255"/>
  <c r="AA26" i="255"/>
  <c r="Z26" i="255"/>
  <c r="Y26" i="255"/>
  <c r="X26" i="255"/>
  <c r="W26" i="255"/>
  <c r="V26" i="255"/>
  <c r="U26" i="255"/>
  <c r="T26" i="255"/>
  <c r="S26" i="255"/>
  <c r="R26" i="255"/>
  <c r="Q26" i="255"/>
  <c r="P26" i="255"/>
  <c r="O26" i="255"/>
  <c r="N26" i="255"/>
  <c r="M26" i="255"/>
  <c r="L26" i="255"/>
  <c r="K26" i="255"/>
  <c r="J26" i="255"/>
  <c r="I26" i="255"/>
  <c r="H26" i="255"/>
  <c r="G26" i="255"/>
  <c r="F26" i="255"/>
  <c r="AL25" i="255"/>
  <c r="N80" i="145" s="1"/>
  <c r="AL24" i="255"/>
  <c r="N82" i="145" s="1"/>
  <c r="AL23" i="255"/>
  <c r="N79" i="145" s="1"/>
  <c r="F10" i="255"/>
  <c r="F16" i="255" s="1"/>
  <c r="AL51" i="254"/>
  <c r="AL50" i="254"/>
  <c r="AJ48" i="254"/>
  <c r="AI48" i="254"/>
  <c r="AH48" i="254"/>
  <c r="AG48" i="254"/>
  <c r="AF48" i="254"/>
  <c r="AE48" i="254"/>
  <c r="AD48" i="254"/>
  <c r="AC48" i="254"/>
  <c r="AB48" i="254"/>
  <c r="AA48" i="254"/>
  <c r="Z48" i="254"/>
  <c r="Y48" i="254"/>
  <c r="X48" i="254"/>
  <c r="W48" i="254"/>
  <c r="V48" i="254"/>
  <c r="U48" i="254"/>
  <c r="T48" i="254"/>
  <c r="S48" i="254"/>
  <c r="R48" i="254"/>
  <c r="Q48" i="254"/>
  <c r="P48" i="254"/>
  <c r="O48" i="254"/>
  <c r="N48" i="254"/>
  <c r="M48" i="254"/>
  <c r="L48" i="254"/>
  <c r="K48" i="254"/>
  <c r="J48" i="254"/>
  <c r="I48" i="254"/>
  <c r="H48" i="254"/>
  <c r="G48" i="254"/>
  <c r="F48" i="254"/>
  <c r="AM47" i="254"/>
  <c r="AL47" i="254"/>
  <c r="AM46" i="254"/>
  <c r="AL46" i="254"/>
  <c r="AL45" i="254"/>
  <c r="AM44" i="254"/>
  <c r="AL44" i="254"/>
  <c r="AM43" i="254"/>
  <c r="AL43" i="254"/>
  <c r="AM42" i="254"/>
  <c r="AL42" i="254"/>
  <c r="AM41" i="254"/>
  <c r="AL41" i="254"/>
  <c r="O194" i="145" s="1"/>
  <c r="AM40" i="254"/>
  <c r="AL40" i="254"/>
  <c r="O193" i="145" s="1"/>
  <c r="AM39" i="254"/>
  <c r="AL39" i="254"/>
  <c r="O192" i="145" s="1"/>
  <c r="AM38" i="254"/>
  <c r="AL38" i="254"/>
  <c r="O190" i="145" s="1"/>
  <c r="AM37" i="254"/>
  <c r="AL37" i="254"/>
  <c r="O189" i="145" s="1"/>
  <c r="AM36" i="254"/>
  <c r="AL36" i="254"/>
  <c r="O163" i="145" s="1"/>
  <c r="AM35" i="254"/>
  <c r="AL35" i="254"/>
  <c r="O161" i="145" s="1"/>
  <c r="AM34" i="254"/>
  <c r="AL34" i="254"/>
  <c r="AJ31" i="254"/>
  <c r="AI31" i="254"/>
  <c r="AH31" i="254"/>
  <c r="AG31" i="254"/>
  <c r="AF31" i="254"/>
  <c r="AE31" i="254"/>
  <c r="AD31" i="254"/>
  <c r="AC31" i="254"/>
  <c r="AB31" i="254"/>
  <c r="AA31" i="254"/>
  <c r="Z31" i="254"/>
  <c r="Y31" i="254"/>
  <c r="X31" i="254"/>
  <c r="W31" i="254"/>
  <c r="V31" i="254"/>
  <c r="U31" i="254"/>
  <c r="T31" i="254"/>
  <c r="S31" i="254"/>
  <c r="R31" i="254"/>
  <c r="Q31" i="254"/>
  <c r="P31" i="254"/>
  <c r="O31" i="254"/>
  <c r="N31" i="254"/>
  <c r="M31" i="254"/>
  <c r="L31" i="254"/>
  <c r="K31" i="254"/>
  <c r="J31" i="254"/>
  <c r="I31" i="254"/>
  <c r="H31" i="254"/>
  <c r="G31" i="254"/>
  <c r="F31" i="254"/>
  <c r="AG26" i="254"/>
  <c r="AF26" i="254"/>
  <c r="AE26" i="254"/>
  <c r="AD26" i="254"/>
  <c r="AC26" i="254"/>
  <c r="AB26" i="254"/>
  <c r="AA26" i="254"/>
  <c r="Z26" i="254"/>
  <c r="Y26" i="254"/>
  <c r="X26" i="254"/>
  <c r="W26" i="254"/>
  <c r="V26" i="254"/>
  <c r="U26" i="254"/>
  <c r="T26" i="254"/>
  <c r="S26" i="254"/>
  <c r="R26" i="254"/>
  <c r="Q26" i="254"/>
  <c r="P26" i="254"/>
  <c r="O26" i="254"/>
  <c r="N26" i="254"/>
  <c r="M26" i="254"/>
  <c r="L26" i="254"/>
  <c r="K26" i="254"/>
  <c r="J26" i="254"/>
  <c r="I26" i="254"/>
  <c r="H26" i="254"/>
  <c r="G26" i="254"/>
  <c r="F26" i="254"/>
  <c r="AL25" i="254"/>
  <c r="O80" i="145" s="1"/>
  <c r="AL24" i="254"/>
  <c r="O82" i="145" s="1"/>
  <c r="AL23" i="254"/>
  <c r="O79" i="145" s="1"/>
  <c r="F10" i="254"/>
  <c r="F16" i="254" s="1"/>
  <c r="AL51" i="253"/>
  <c r="AL50" i="253"/>
  <c r="AJ48" i="253"/>
  <c r="AI48" i="253"/>
  <c r="AH48" i="253"/>
  <c r="AG48" i="253"/>
  <c r="AF48" i="253"/>
  <c r="AE48" i="253"/>
  <c r="AD48" i="253"/>
  <c r="AC48" i="253"/>
  <c r="AB48" i="253"/>
  <c r="AA48" i="253"/>
  <c r="Z48" i="253"/>
  <c r="Y48" i="253"/>
  <c r="X48" i="253"/>
  <c r="W48" i="253"/>
  <c r="V48" i="253"/>
  <c r="U48" i="253"/>
  <c r="T48" i="253"/>
  <c r="S48" i="253"/>
  <c r="R48" i="253"/>
  <c r="Q48" i="253"/>
  <c r="P48" i="253"/>
  <c r="O48" i="253"/>
  <c r="N48" i="253"/>
  <c r="M48" i="253"/>
  <c r="L48" i="253"/>
  <c r="K48" i="253"/>
  <c r="J48" i="253"/>
  <c r="I48" i="253"/>
  <c r="H48" i="253"/>
  <c r="G48" i="253"/>
  <c r="F48" i="253"/>
  <c r="AM47" i="253"/>
  <c r="AL47" i="253"/>
  <c r="AM46" i="253"/>
  <c r="AL46" i="253"/>
  <c r="AL45" i="253"/>
  <c r="AM44" i="253"/>
  <c r="AL44" i="253"/>
  <c r="AM43" i="253"/>
  <c r="AL43" i="253"/>
  <c r="AM42" i="253"/>
  <c r="AL42" i="253"/>
  <c r="AM41" i="253"/>
  <c r="AL41" i="253"/>
  <c r="P194" i="145" s="1"/>
  <c r="AM40" i="253"/>
  <c r="AL40" i="253"/>
  <c r="P193" i="145" s="1"/>
  <c r="AM39" i="253"/>
  <c r="AL39" i="253"/>
  <c r="P192" i="145" s="1"/>
  <c r="AM38" i="253"/>
  <c r="AL38" i="253"/>
  <c r="P190" i="145" s="1"/>
  <c r="AM37" i="253"/>
  <c r="AL37" i="253"/>
  <c r="P189" i="145" s="1"/>
  <c r="AM36" i="253"/>
  <c r="AL36" i="253"/>
  <c r="P163" i="145" s="1"/>
  <c r="AM35" i="253"/>
  <c r="AL35" i="253"/>
  <c r="P161" i="145" s="1"/>
  <c r="AM34" i="253"/>
  <c r="AL34" i="253"/>
  <c r="AJ31" i="253"/>
  <c r="AI31" i="253"/>
  <c r="AH31" i="253"/>
  <c r="AG31" i="253"/>
  <c r="AF31" i="253"/>
  <c r="AE31" i="253"/>
  <c r="AD31" i="253"/>
  <c r="AC31" i="253"/>
  <c r="AB31" i="253"/>
  <c r="AA31" i="253"/>
  <c r="Z31" i="253"/>
  <c r="Y31" i="253"/>
  <c r="X31" i="253"/>
  <c r="W31" i="253"/>
  <c r="V31" i="253"/>
  <c r="U31" i="253"/>
  <c r="T31" i="253"/>
  <c r="S31" i="253"/>
  <c r="R31" i="253"/>
  <c r="Q31" i="253"/>
  <c r="P31" i="253"/>
  <c r="O31" i="253"/>
  <c r="N31" i="253"/>
  <c r="M31" i="253"/>
  <c r="L31" i="253"/>
  <c r="K31" i="253"/>
  <c r="J31" i="253"/>
  <c r="I31" i="253"/>
  <c r="H31" i="253"/>
  <c r="G31" i="253"/>
  <c r="F31" i="253"/>
  <c r="AG26" i="253"/>
  <c r="AF26" i="253"/>
  <c r="AE26" i="253"/>
  <c r="AD26" i="253"/>
  <c r="AC26" i="253"/>
  <c r="AB26" i="253"/>
  <c r="AA26" i="253"/>
  <c r="Z26" i="253"/>
  <c r="Y26" i="253"/>
  <c r="X26" i="253"/>
  <c r="W26" i="253"/>
  <c r="V26" i="253"/>
  <c r="U26" i="253"/>
  <c r="T26" i="253"/>
  <c r="S26" i="253"/>
  <c r="R26" i="253"/>
  <c r="Q26" i="253"/>
  <c r="P26" i="253"/>
  <c r="O26" i="253"/>
  <c r="N26" i="253"/>
  <c r="M26" i="253"/>
  <c r="L26" i="253"/>
  <c r="K26" i="253"/>
  <c r="J26" i="253"/>
  <c r="I26" i="253"/>
  <c r="H26" i="253"/>
  <c r="G26" i="253"/>
  <c r="F26" i="253"/>
  <c r="AL25" i="253"/>
  <c r="P80" i="145" s="1"/>
  <c r="AL24" i="253"/>
  <c r="P82" i="145" s="1"/>
  <c r="AL23" i="253"/>
  <c r="P79" i="145" s="1"/>
  <c r="F10" i="253"/>
  <c r="F16" i="253" s="1"/>
  <c r="AL51" i="252"/>
  <c r="AL50" i="252"/>
  <c r="AJ48" i="252"/>
  <c r="AI48" i="252"/>
  <c r="AH48" i="252"/>
  <c r="AG48" i="252"/>
  <c r="AF48" i="252"/>
  <c r="AE48" i="252"/>
  <c r="AD48" i="252"/>
  <c r="AC48" i="252"/>
  <c r="AB48" i="252"/>
  <c r="AA48" i="252"/>
  <c r="Z48" i="252"/>
  <c r="Y48" i="252"/>
  <c r="X48" i="252"/>
  <c r="W48" i="252"/>
  <c r="V48" i="252"/>
  <c r="U48" i="252"/>
  <c r="T48" i="252"/>
  <c r="S48" i="252"/>
  <c r="R48" i="252"/>
  <c r="Q48" i="252"/>
  <c r="P48" i="252"/>
  <c r="O48" i="252"/>
  <c r="N48" i="252"/>
  <c r="M48" i="252"/>
  <c r="L48" i="252"/>
  <c r="K48" i="252"/>
  <c r="J48" i="252"/>
  <c r="I48" i="252"/>
  <c r="H48" i="252"/>
  <c r="G48" i="252"/>
  <c r="F48" i="252"/>
  <c r="AM47" i="252"/>
  <c r="AL47" i="252"/>
  <c r="AM46" i="252"/>
  <c r="AL46" i="252"/>
  <c r="AL45" i="252"/>
  <c r="AM44" i="252"/>
  <c r="AL44" i="252"/>
  <c r="AM43" i="252"/>
  <c r="AL43" i="252"/>
  <c r="AM42" i="252"/>
  <c r="AL42" i="252"/>
  <c r="AM41" i="252"/>
  <c r="AL41" i="252"/>
  <c r="Q194" i="145" s="1"/>
  <c r="AM40" i="252"/>
  <c r="AL40" i="252"/>
  <c r="Q193" i="145" s="1"/>
  <c r="AM39" i="252"/>
  <c r="AL39" i="252"/>
  <c r="Q192" i="145" s="1"/>
  <c r="AM38" i="252"/>
  <c r="AL38" i="252"/>
  <c r="Q190" i="145" s="1"/>
  <c r="AM37" i="252"/>
  <c r="AL37" i="252"/>
  <c r="Q189" i="145" s="1"/>
  <c r="AM36" i="252"/>
  <c r="AL36" i="252"/>
  <c r="Q163" i="145" s="1"/>
  <c r="AM35" i="252"/>
  <c r="AL35" i="252"/>
  <c r="Q161" i="145" s="1"/>
  <c r="AM34" i="252"/>
  <c r="AL34" i="252"/>
  <c r="AJ31" i="252"/>
  <c r="AI31" i="252"/>
  <c r="AH31" i="252"/>
  <c r="AG31" i="252"/>
  <c r="AF31" i="252"/>
  <c r="AE31" i="252"/>
  <c r="AD31" i="252"/>
  <c r="AC31" i="252"/>
  <c r="AB31" i="252"/>
  <c r="AA31" i="252"/>
  <c r="Z31" i="252"/>
  <c r="Y31" i="252"/>
  <c r="X31" i="252"/>
  <c r="W31" i="252"/>
  <c r="V31" i="252"/>
  <c r="U31" i="252"/>
  <c r="T31" i="252"/>
  <c r="S31" i="252"/>
  <c r="R31" i="252"/>
  <c r="Q31" i="252"/>
  <c r="P31" i="252"/>
  <c r="O31" i="252"/>
  <c r="N31" i="252"/>
  <c r="M31" i="252"/>
  <c r="L31" i="252"/>
  <c r="K31" i="252"/>
  <c r="J31" i="252"/>
  <c r="I31" i="252"/>
  <c r="H31" i="252"/>
  <c r="G31" i="252"/>
  <c r="F31" i="252"/>
  <c r="AG26" i="252"/>
  <c r="AF26" i="252"/>
  <c r="AE26" i="252"/>
  <c r="AD26" i="252"/>
  <c r="AC26" i="252"/>
  <c r="AB26" i="252"/>
  <c r="AA26" i="252"/>
  <c r="Z26" i="252"/>
  <c r="Y26" i="252"/>
  <c r="X26" i="252"/>
  <c r="W26" i="252"/>
  <c r="V26" i="252"/>
  <c r="U26" i="252"/>
  <c r="T26" i="252"/>
  <c r="S26" i="252"/>
  <c r="R26" i="252"/>
  <c r="Q26" i="252"/>
  <c r="P26" i="252"/>
  <c r="O26" i="252"/>
  <c r="N26" i="252"/>
  <c r="M26" i="252"/>
  <c r="L26" i="252"/>
  <c r="K26" i="252"/>
  <c r="J26" i="252"/>
  <c r="I26" i="252"/>
  <c r="H26" i="252"/>
  <c r="G26" i="252"/>
  <c r="F26" i="252"/>
  <c r="AL25" i="252"/>
  <c r="Q80" i="145" s="1"/>
  <c r="AL24" i="252"/>
  <c r="Q82" i="145" s="1"/>
  <c r="AL23" i="252"/>
  <c r="Q79" i="145" s="1"/>
  <c r="F10" i="252"/>
  <c r="F16" i="252" s="1"/>
  <c r="AL51" i="251"/>
  <c r="AL50" i="251"/>
  <c r="AJ48" i="251"/>
  <c r="AI48" i="251"/>
  <c r="AH48" i="251"/>
  <c r="AG48" i="251"/>
  <c r="AF48" i="251"/>
  <c r="AE48" i="251"/>
  <c r="AD48" i="251"/>
  <c r="AC48" i="251"/>
  <c r="AB48" i="251"/>
  <c r="AA48" i="251"/>
  <c r="Z48" i="251"/>
  <c r="Y48" i="251"/>
  <c r="X48" i="251"/>
  <c r="W48" i="251"/>
  <c r="V48" i="251"/>
  <c r="U48" i="251"/>
  <c r="T48" i="251"/>
  <c r="S48" i="251"/>
  <c r="R48" i="251"/>
  <c r="Q48" i="251"/>
  <c r="P48" i="251"/>
  <c r="O48" i="251"/>
  <c r="N48" i="251"/>
  <c r="M48" i="251"/>
  <c r="L48" i="251"/>
  <c r="K48" i="251"/>
  <c r="AL48" i="251" s="1"/>
  <c r="J48" i="251"/>
  <c r="I48" i="251"/>
  <c r="H48" i="251"/>
  <c r="G48" i="251"/>
  <c r="F48" i="251"/>
  <c r="AM47" i="251"/>
  <c r="AL47" i="251"/>
  <c r="AM46" i="251"/>
  <c r="AL46" i="251"/>
  <c r="AL45" i="251"/>
  <c r="AM44" i="251"/>
  <c r="AL44" i="251"/>
  <c r="AM43" i="251"/>
  <c r="AL43" i="251"/>
  <c r="AM42" i="251"/>
  <c r="AL42" i="251"/>
  <c r="AM41" i="251"/>
  <c r="AL41" i="251"/>
  <c r="R194" i="145" s="1"/>
  <c r="AM40" i="251"/>
  <c r="AL40" i="251"/>
  <c r="R193" i="145" s="1"/>
  <c r="AM39" i="251"/>
  <c r="AL39" i="251"/>
  <c r="R192" i="145" s="1"/>
  <c r="AM38" i="251"/>
  <c r="AL38" i="251"/>
  <c r="R190" i="145" s="1"/>
  <c r="AM37" i="251"/>
  <c r="AL37" i="251"/>
  <c r="R189" i="145" s="1"/>
  <c r="AM36" i="251"/>
  <c r="AL36" i="251"/>
  <c r="R163" i="145" s="1"/>
  <c r="AM35" i="251"/>
  <c r="AL35" i="251"/>
  <c r="R161" i="145" s="1"/>
  <c r="AM34" i="251"/>
  <c r="AL34" i="251"/>
  <c r="AJ31" i="251"/>
  <c r="AI31" i="251"/>
  <c r="AH31" i="251"/>
  <c r="AG31" i="251"/>
  <c r="AF31" i="251"/>
  <c r="AE31" i="251"/>
  <c r="AD31" i="251"/>
  <c r="AC31" i="251"/>
  <c r="AB31" i="251"/>
  <c r="AA31" i="251"/>
  <c r="Z31" i="251"/>
  <c r="Y31" i="251"/>
  <c r="X31" i="251"/>
  <c r="W31" i="251"/>
  <c r="V31" i="251"/>
  <c r="U31" i="251"/>
  <c r="T31" i="251"/>
  <c r="S31" i="251"/>
  <c r="R31" i="251"/>
  <c r="Q31" i="251"/>
  <c r="P31" i="251"/>
  <c r="O31" i="251"/>
  <c r="N31" i="251"/>
  <c r="M31" i="251"/>
  <c r="L31" i="251"/>
  <c r="K31" i="251"/>
  <c r="J31" i="251"/>
  <c r="I31" i="251"/>
  <c r="H31" i="251"/>
  <c r="G31" i="251"/>
  <c r="F31" i="251"/>
  <c r="AG26" i="251"/>
  <c r="AF26" i="251"/>
  <c r="AE26" i="251"/>
  <c r="AD26" i="251"/>
  <c r="AC26" i="251"/>
  <c r="AB26" i="251"/>
  <c r="AA26" i="251"/>
  <c r="Z26" i="251"/>
  <c r="Y26" i="251"/>
  <c r="X26" i="251"/>
  <c r="W26" i="251"/>
  <c r="V26" i="251"/>
  <c r="U26" i="251"/>
  <c r="T26" i="251"/>
  <c r="S26" i="251"/>
  <c r="R26" i="251"/>
  <c r="Q26" i="251"/>
  <c r="P26" i="251"/>
  <c r="O26" i="251"/>
  <c r="N26" i="251"/>
  <c r="M26" i="251"/>
  <c r="L26" i="251"/>
  <c r="K26" i="251"/>
  <c r="J26" i="251"/>
  <c r="I26" i="251"/>
  <c r="H26" i="251"/>
  <c r="G26" i="251"/>
  <c r="F26" i="251"/>
  <c r="AL25" i="251"/>
  <c r="R80" i="145" s="1"/>
  <c r="AL24" i="251"/>
  <c r="R82" i="145" s="1"/>
  <c r="AL23" i="251"/>
  <c r="R79" i="145" s="1"/>
  <c r="F10" i="251"/>
  <c r="F16" i="251" s="1"/>
  <c r="AL51" i="250"/>
  <c r="AL50" i="250"/>
  <c r="AJ48" i="250"/>
  <c r="AI48" i="250"/>
  <c r="AH48" i="250"/>
  <c r="AG48" i="250"/>
  <c r="AF48" i="250"/>
  <c r="AE48" i="250"/>
  <c r="AD48" i="250"/>
  <c r="AC48" i="250"/>
  <c r="AB48" i="250"/>
  <c r="AA48" i="250"/>
  <c r="Z48" i="250"/>
  <c r="Y48" i="250"/>
  <c r="X48" i="250"/>
  <c r="W48" i="250"/>
  <c r="V48" i="250"/>
  <c r="U48" i="250"/>
  <c r="T48" i="250"/>
  <c r="S48" i="250"/>
  <c r="R48" i="250"/>
  <c r="Q48" i="250"/>
  <c r="P48" i="250"/>
  <c r="O48" i="250"/>
  <c r="N48" i="250"/>
  <c r="M48" i="250"/>
  <c r="L48" i="250"/>
  <c r="K48" i="250"/>
  <c r="J48" i="250"/>
  <c r="I48" i="250"/>
  <c r="H48" i="250"/>
  <c r="AL48" i="250" s="1"/>
  <c r="G48" i="250"/>
  <c r="F48" i="250"/>
  <c r="AM47" i="250"/>
  <c r="AL47" i="250"/>
  <c r="AM46" i="250"/>
  <c r="AL46" i="250"/>
  <c r="AL45" i="250"/>
  <c r="AM44" i="250"/>
  <c r="AL44" i="250"/>
  <c r="AM43" i="250"/>
  <c r="AL43" i="250"/>
  <c r="AM42" i="250"/>
  <c r="AL42" i="250"/>
  <c r="AM41" i="250"/>
  <c r="AL41" i="250"/>
  <c r="S194" i="145" s="1"/>
  <c r="AM40" i="250"/>
  <c r="AL40" i="250"/>
  <c r="S193" i="145" s="1"/>
  <c r="AM39" i="250"/>
  <c r="AL39" i="250"/>
  <c r="S192" i="145" s="1"/>
  <c r="AM38" i="250"/>
  <c r="AL38" i="250"/>
  <c r="S190" i="145" s="1"/>
  <c r="AM37" i="250"/>
  <c r="AL37" i="250"/>
  <c r="S189" i="145" s="1"/>
  <c r="AM36" i="250"/>
  <c r="AL36" i="250"/>
  <c r="S163" i="145" s="1"/>
  <c r="AM35" i="250"/>
  <c r="AL35" i="250"/>
  <c r="S161" i="145" s="1"/>
  <c r="AM34" i="250"/>
  <c r="AL34" i="250"/>
  <c r="AJ31" i="250"/>
  <c r="AI31" i="250"/>
  <c r="AH31" i="250"/>
  <c r="AG31" i="250"/>
  <c r="AF31" i="250"/>
  <c r="AE31" i="250"/>
  <c r="AD31" i="250"/>
  <c r="AC31" i="250"/>
  <c r="AB31" i="250"/>
  <c r="AA31" i="250"/>
  <c r="Z31" i="250"/>
  <c r="Y31" i="250"/>
  <c r="X31" i="250"/>
  <c r="W31" i="250"/>
  <c r="V31" i="250"/>
  <c r="U31" i="250"/>
  <c r="T31" i="250"/>
  <c r="S31" i="250"/>
  <c r="R31" i="250"/>
  <c r="Q31" i="250"/>
  <c r="P31" i="250"/>
  <c r="O31" i="250"/>
  <c r="N31" i="250"/>
  <c r="M31" i="250"/>
  <c r="L31" i="250"/>
  <c r="K31" i="250"/>
  <c r="J31" i="250"/>
  <c r="I31" i="250"/>
  <c r="H31" i="250"/>
  <c r="G31" i="250"/>
  <c r="F31" i="250"/>
  <c r="AG26" i="250"/>
  <c r="AF26" i="250"/>
  <c r="AE26" i="250"/>
  <c r="AD26" i="250"/>
  <c r="AC26" i="250"/>
  <c r="AB26" i="250"/>
  <c r="AA26" i="250"/>
  <c r="Z26" i="250"/>
  <c r="Y26" i="250"/>
  <c r="X26" i="250"/>
  <c r="W26" i="250"/>
  <c r="V26" i="250"/>
  <c r="U26" i="250"/>
  <c r="T26" i="250"/>
  <c r="S26" i="250"/>
  <c r="R26" i="250"/>
  <c r="Q26" i="250"/>
  <c r="P26" i="250"/>
  <c r="O26" i="250"/>
  <c r="N26" i="250"/>
  <c r="M26" i="250"/>
  <c r="L26" i="250"/>
  <c r="K26" i="250"/>
  <c r="J26" i="250"/>
  <c r="I26" i="250"/>
  <c r="H26" i="250"/>
  <c r="G26" i="250"/>
  <c r="F26" i="250"/>
  <c r="AL25" i="250"/>
  <c r="S80" i="145" s="1"/>
  <c r="AL24" i="250"/>
  <c r="S82" i="145" s="1"/>
  <c r="AL23" i="250"/>
  <c r="S79" i="145" s="1"/>
  <c r="F10" i="250"/>
  <c r="F16" i="250" s="1"/>
  <c r="G16" i="250" s="1"/>
  <c r="AL51" i="249"/>
  <c r="AL50" i="249"/>
  <c r="AJ48" i="249"/>
  <c r="AI48" i="249"/>
  <c r="AH48" i="249"/>
  <c r="AG48" i="249"/>
  <c r="AF48" i="249"/>
  <c r="AE48" i="249"/>
  <c r="AD48" i="249"/>
  <c r="AC48" i="249"/>
  <c r="AB48" i="249"/>
  <c r="AA48" i="249"/>
  <c r="Z48" i="249"/>
  <c r="Y48" i="249"/>
  <c r="X48" i="249"/>
  <c r="W48" i="249"/>
  <c r="V48" i="249"/>
  <c r="U48" i="249"/>
  <c r="T48" i="249"/>
  <c r="S48" i="249"/>
  <c r="R48" i="249"/>
  <c r="Q48" i="249"/>
  <c r="P48" i="249"/>
  <c r="O48" i="249"/>
  <c r="N48" i="249"/>
  <c r="M48" i="249"/>
  <c r="L48" i="249"/>
  <c r="K48" i="249"/>
  <c r="J48" i="249"/>
  <c r="I48" i="249"/>
  <c r="H48" i="249"/>
  <c r="G48" i="249"/>
  <c r="F48" i="249"/>
  <c r="AM47" i="249"/>
  <c r="AL47" i="249"/>
  <c r="AM46" i="249"/>
  <c r="AL46" i="249"/>
  <c r="AL45" i="249"/>
  <c r="AM44" i="249"/>
  <c r="AL44" i="249"/>
  <c r="AM43" i="249"/>
  <c r="AL43" i="249"/>
  <c r="AM42" i="249"/>
  <c r="AL42" i="249"/>
  <c r="AM41" i="249"/>
  <c r="AL41" i="249"/>
  <c r="T194" i="145" s="1"/>
  <c r="AM40" i="249"/>
  <c r="AL40" i="249"/>
  <c r="T193" i="145" s="1"/>
  <c r="AM39" i="249"/>
  <c r="AL39" i="249"/>
  <c r="T192" i="145" s="1"/>
  <c r="AM38" i="249"/>
  <c r="AL38" i="249"/>
  <c r="T190" i="145" s="1"/>
  <c r="AM37" i="249"/>
  <c r="AL37" i="249"/>
  <c r="T189" i="145" s="1"/>
  <c r="AM36" i="249"/>
  <c r="AL36" i="249"/>
  <c r="T163" i="145" s="1"/>
  <c r="AM35" i="249"/>
  <c r="AL35" i="249"/>
  <c r="T161" i="145" s="1"/>
  <c r="AM34" i="249"/>
  <c r="AL34" i="249"/>
  <c r="AJ31" i="249"/>
  <c r="AI31" i="249"/>
  <c r="AH31" i="249"/>
  <c r="AG31" i="249"/>
  <c r="AF31" i="249"/>
  <c r="AE31" i="249"/>
  <c r="AD31" i="249"/>
  <c r="AC31" i="249"/>
  <c r="AB31" i="249"/>
  <c r="AA31" i="249"/>
  <c r="Z31" i="249"/>
  <c r="Y31" i="249"/>
  <c r="X31" i="249"/>
  <c r="W31" i="249"/>
  <c r="V31" i="249"/>
  <c r="U31" i="249"/>
  <c r="AL31" i="249" s="1"/>
  <c r="T124" i="145" s="1"/>
  <c r="T31" i="249"/>
  <c r="S31" i="249"/>
  <c r="R31" i="249"/>
  <c r="Q31" i="249"/>
  <c r="P31" i="249"/>
  <c r="O31" i="249"/>
  <c r="N31" i="249"/>
  <c r="M31" i="249"/>
  <c r="L31" i="249"/>
  <c r="K31" i="249"/>
  <c r="J31" i="249"/>
  <c r="I31" i="249"/>
  <c r="H31" i="249"/>
  <c r="G31" i="249"/>
  <c r="F31" i="249"/>
  <c r="AG26" i="249"/>
  <c r="AF26" i="249"/>
  <c r="AE26" i="249"/>
  <c r="AD26" i="249"/>
  <c r="AC26" i="249"/>
  <c r="AB26" i="249"/>
  <c r="AA26" i="249"/>
  <c r="Z26" i="249"/>
  <c r="Y26" i="249"/>
  <c r="X26" i="249"/>
  <c r="W26" i="249"/>
  <c r="V26" i="249"/>
  <c r="U26" i="249"/>
  <c r="T26" i="249"/>
  <c r="S26" i="249"/>
  <c r="R26" i="249"/>
  <c r="Q26" i="249"/>
  <c r="P26" i="249"/>
  <c r="O26" i="249"/>
  <c r="N26" i="249"/>
  <c r="M26" i="249"/>
  <c r="L26" i="249"/>
  <c r="K26" i="249"/>
  <c r="J26" i="249"/>
  <c r="I26" i="249"/>
  <c r="H26" i="249"/>
  <c r="G26" i="249"/>
  <c r="F26" i="249"/>
  <c r="AL25" i="249"/>
  <c r="T80" i="145" s="1"/>
  <c r="AL24" i="249"/>
  <c r="T82" i="145" s="1"/>
  <c r="AL23" i="249"/>
  <c r="T79" i="145" s="1"/>
  <c r="F10" i="249"/>
  <c r="AL51" i="248"/>
  <c r="AL50" i="248"/>
  <c r="AJ48" i="248"/>
  <c r="AI48" i="248"/>
  <c r="AH48" i="248"/>
  <c r="AG48" i="248"/>
  <c r="AF48" i="248"/>
  <c r="AE48" i="248"/>
  <c r="AD48" i="248"/>
  <c r="AC48" i="248"/>
  <c r="AB48" i="248"/>
  <c r="AA48" i="248"/>
  <c r="Z48" i="248"/>
  <c r="Y48" i="248"/>
  <c r="X48" i="248"/>
  <c r="W48" i="248"/>
  <c r="V48" i="248"/>
  <c r="U48" i="248"/>
  <c r="T48" i="248"/>
  <c r="S48" i="248"/>
  <c r="R48" i="248"/>
  <c r="Q48" i="248"/>
  <c r="P48" i="248"/>
  <c r="O48" i="248"/>
  <c r="N48" i="248"/>
  <c r="M48" i="248"/>
  <c r="L48" i="248"/>
  <c r="K48" i="248"/>
  <c r="J48" i="248"/>
  <c r="I48" i="248"/>
  <c r="H48" i="248"/>
  <c r="G48" i="248"/>
  <c r="F48" i="248"/>
  <c r="AM47" i="248"/>
  <c r="AL47" i="248"/>
  <c r="AM46" i="248"/>
  <c r="AL46" i="248"/>
  <c r="AL45" i="248"/>
  <c r="AM44" i="248"/>
  <c r="AL44" i="248"/>
  <c r="AM43" i="248"/>
  <c r="AL43" i="248"/>
  <c r="AM42" i="248"/>
  <c r="AL42" i="248"/>
  <c r="AM41" i="248"/>
  <c r="AL41" i="248"/>
  <c r="U194" i="145" s="1"/>
  <c r="AM40" i="248"/>
  <c r="AL40" i="248"/>
  <c r="U193" i="145" s="1"/>
  <c r="AM39" i="248"/>
  <c r="AL39" i="248"/>
  <c r="U192" i="145" s="1"/>
  <c r="AM38" i="248"/>
  <c r="AL38" i="248"/>
  <c r="U190" i="145" s="1"/>
  <c r="AM37" i="248"/>
  <c r="AL37" i="248"/>
  <c r="U189" i="145" s="1"/>
  <c r="AM36" i="248"/>
  <c r="AL36" i="248"/>
  <c r="U163" i="145" s="1"/>
  <c r="AM35" i="248"/>
  <c r="AL35" i="248"/>
  <c r="U161" i="145" s="1"/>
  <c r="AM34" i="248"/>
  <c r="AL34" i="248"/>
  <c r="AJ31" i="248"/>
  <c r="AI31" i="248"/>
  <c r="AH31" i="248"/>
  <c r="AG31" i="248"/>
  <c r="AF31" i="248"/>
  <c r="AE31" i="248"/>
  <c r="AD31" i="248"/>
  <c r="AC31" i="248"/>
  <c r="AB31" i="248"/>
  <c r="AA31" i="248"/>
  <c r="Z31" i="248"/>
  <c r="Y31" i="248"/>
  <c r="X31" i="248"/>
  <c r="W31" i="248"/>
  <c r="V31" i="248"/>
  <c r="U31" i="248"/>
  <c r="T31" i="248"/>
  <c r="S31" i="248"/>
  <c r="R31" i="248"/>
  <c r="Q31" i="248"/>
  <c r="P31" i="248"/>
  <c r="O31" i="248"/>
  <c r="N31" i="248"/>
  <c r="M31" i="248"/>
  <c r="L31" i="248"/>
  <c r="K31" i="248"/>
  <c r="J31" i="248"/>
  <c r="I31" i="248"/>
  <c r="H31" i="248"/>
  <c r="G31" i="248"/>
  <c r="F31" i="248"/>
  <c r="AG26" i="248"/>
  <c r="AF26" i="248"/>
  <c r="AE26" i="248"/>
  <c r="AD26" i="248"/>
  <c r="AC26" i="248"/>
  <c r="AB26" i="248"/>
  <c r="AA26" i="248"/>
  <c r="Z26" i="248"/>
  <c r="Y26" i="248"/>
  <c r="X26" i="248"/>
  <c r="W26" i="248"/>
  <c r="V26" i="248"/>
  <c r="U26" i="248"/>
  <c r="T26" i="248"/>
  <c r="S26" i="248"/>
  <c r="R26" i="248"/>
  <c r="Q26" i="248"/>
  <c r="P26" i="248"/>
  <c r="O26" i="248"/>
  <c r="N26" i="248"/>
  <c r="M26" i="248"/>
  <c r="L26" i="248"/>
  <c r="K26" i="248"/>
  <c r="J26" i="248"/>
  <c r="I26" i="248"/>
  <c r="H26" i="248"/>
  <c r="G26" i="248"/>
  <c r="F26" i="248"/>
  <c r="AL25" i="248"/>
  <c r="U80" i="145" s="1"/>
  <c r="AL24" i="248"/>
  <c r="U82" i="145" s="1"/>
  <c r="AL23" i="248"/>
  <c r="U79" i="145" s="1"/>
  <c r="F10" i="248"/>
  <c r="F16" i="248" s="1"/>
  <c r="AL31" i="250" l="1"/>
  <c r="S124" i="145" s="1"/>
  <c r="AL31" i="252"/>
  <c r="Q124" i="145" s="1"/>
  <c r="AL31" i="253"/>
  <c r="P124" i="145" s="1"/>
  <c r="AL31" i="256"/>
  <c r="M124" i="145" s="1"/>
  <c r="AL31" i="257"/>
  <c r="L124" i="145" s="1"/>
  <c r="AL31" i="251"/>
  <c r="R124" i="145" s="1"/>
  <c r="AL48" i="255"/>
  <c r="AM48" i="248"/>
  <c r="AL48" i="252"/>
  <c r="AM48" i="250"/>
  <c r="AM48" i="256"/>
  <c r="G16" i="248"/>
  <c r="H16" i="248" s="1"/>
  <c r="F17" i="248"/>
  <c r="H16" i="250"/>
  <c r="H14" i="250" s="1"/>
  <c r="G17" i="250"/>
  <c r="G14" i="250"/>
  <c r="G18" i="250" s="1"/>
  <c r="F17" i="251"/>
  <c r="F14" i="251"/>
  <c r="F17" i="253"/>
  <c r="G16" i="253"/>
  <c r="G17" i="253" s="1"/>
  <c r="F17" i="254"/>
  <c r="G16" i="254"/>
  <c r="G17" i="254" s="1"/>
  <c r="F14" i="254"/>
  <c r="G16" i="258"/>
  <c r="F16" i="249"/>
  <c r="AL48" i="249"/>
  <c r="G17" i="248"/>
  <c r="AL48" i="248"/>
  <c r="G14" i="248"/>
  <c r="H14" i="248"/>
  <c r="F14" i="248"/>
  <c r="AL31" i="248"/>
  <c r="U124" i="145" s="1"/>
  <c r="F14" i="250"/>
  <c r="F17" i="250"/>
  <c r="AM48" i="249"/>
  <c r="F18" i="251"/>
  <c r="G16" i="251"/>
  <c r="AL48" i="253"/>
  <c r="AM48" i="251"/>
  <c r="F17" i="252"/>
  <c r="G16" i="252"/>
  <c r="F14" i="252"/>
  <c r="AM48" i="252"/>
  <c r="AM48" i="253"/>
  <c r="F14" i="253"/>
  <c r="H16" i="253"/>
  <c r="F14" i="255"/>
  <c r="G16" i="255"/>
  <c r="F17" i="255"/>
  <c r="F18" i="254"/>
  <c r="AM48" i="254"/>
  <c r="G14" i="254"/>
  <c r="AL48" i="254"/>
  <c r="H16" i="254"/>
  <c r="H14" i="254" s="1"/>
  <c r="AL31" i="254"/>
  <c r="O124" i="145" s="1"/>
  <c r="AM48" i="255"/>
  <c r="F14" i="256"/>
  <c r="F17" i="256"/>
  <c r="I16" i="257"/>
  <c r="H17" i="257"/>
  <c r="H14" i="257"/>
  <c r="G16" i="256"/>
  <c r="G14" i="256" s="1"/>
  <c r="AL48" i="257"/>
  <c r="F14" i="257"/>
  <c r="F17" i="257"/>
  <c r="G17" i="257"/>
  <c r="AM48" i="257"/>
  <c r="F18" i="258"/>
  <c r="F27" i="258" a="1"/>
  <c r="F27" i="258" s="1"/>
  <c r="G14" i="257"/>
  <c r="AL48" i="256"/>
  <c r="F17" i="258"/>
  <c r="G17" i="258"/>
  <c r="AD23" i="139"/>
  <c r="J23" i="139"/>
  <c r="L23" i="139"/>
  <c r="L199" i="145"/>
  <c r="N23" i="139"/>
  <c r="M199" i="145"/>
  <c r="P23" i="139"/>
  <c r="R23" i="139"/>
  <c r="T23" i="139"/>
  <c r="V23" i="139"/>
  <c r="X23" i="139"/>
  <c r="Z23" i="139"/>
  <c r="AB23" i="139"/>
  <c r="H48" i="135"/>
  <c r="I48" i="135"/>
  <c r="J48" i="135"/>
  <c r="K48" i="135"/>
  <c r="L48" i="135"/>
  <c r="M48" i="135"/>
  <c r="N48" i="135"/>
  <c r="O48" i="135"/>
  <c r="P48" i="135"/>
  <c r="Q48" i="135"/>
  <c r="R48" i="135"/>
  <c r="S48" i="135"/>
  <c r="T48" i="135"/>
  <c r="U48" i="135"/>
  <c r="V48" i="135"/>
  <c r="W48" i="135"/>
  <c r="X48" i="135"/>
  <c r="Y48" i="135"/>
  <c r="Z48" i="135"/>
  <c r="AA48" i="135"/>
  <c r="AB48" i="135"/>
  <c r="AC48" i="135"/>
  <c r="AD48" i="135"/>
  <c r="AE48" i="135"/>
  <c r="AF48" i="135"/>
  <c r="AG48" i="135"/>
  <c r="AH48" i="135"/>
  <c r="AI48" i="135"/>
  <c r="AJ48" i="135"/>
  <c r="G48" i="135"/>
  <c r="V19" i="139"/>
  <c r="G29" i="139"/>
  <c r="C29" i="139"/>
  <c r="F48" i="135"/>
  <c r="AL45" i="135"/>
  <c r="J198" i="145" s="1"/>
  <c r="H24" i="139" s="1"/>
  <c r="F27" i="251" l="1" a="1"/>
  <c r="F27" i="251" s="1"/>
  <c r="G27" i="250" a="1"/>
  <c r="G27" i="250" s="1"/>
  <c r="H17" i="248"/>
  <c r="I16" i="248"/>
  <c r="H17" i="250"/>
  <c r="I16" i="250"/>
  <c r="G14" i="253"/>
  <c r="G18" i="253" s="1"/>
  <c r="G27" i="253" s="1" a="1"/>
  <c r="G27" i="253" s="1"/>
  <c r="G14" i="258"/>
  <c r="H16" i="258"/>
  <c r="I17" i="257"/>
  <c r="J16" i="257"/>
  <c r="F15" i="257"/>
  <c r="F18" i="257"/>
  <c r="G15" i="257"/>
  <c r="H14" i="253"/>
  <c r="G15" i="253" s="1"/>
  <c r="H17" i="253"/>
  <c r="I16" i="253"/>
  <c r="H18" i="254"/>
  <c r="H27" i="254" s="1" a="1"/>
  <c r="H27" i="254" s="1"/>
  <c r="AL19" i="254"/>
  <c r="O28" i="145" s="1"/>
  <c r="AL18" i="254"/>
  <c r="O27" i="145" s="1"/>
  <c r="F18" i="253"/>
  <c r="G18" i="257"/>
  <c r="G15" i="254"/>
  <c r="G17" i="252"/>
  <c r="H16" i="252"/>
  <c r="I14" i="257"/>
  <c r="H15" i="257" s="1"/>
  <c r="G14" i="251"/>
  <c r="H16" i="251"/>
  <c r="G17" i="251"/>
  <c r="G15" i="250"/>
  <c r="F18" i="250"/>
  <c r="F15" i="250"/>
  <c r="G15" i="248"/>
  <c r="F18" i="248"/>
  <c r="F15" i="248"/>
  <c r="G18" i="256"/>
  <c r="H18" i="248"/>
  <c r="H27" i="248" s="1" a="1"/>
  <c r="H27" i="248" s="1"/>
  <c r="G14" i="252"/>
  <c r="AL19" i="251"/>
  <c r="R28" i="145" s="1"/>
  <c r="AL18" i="251"/>
  <c r="R27" i="145" s="1"/>
  <c r="G18" i="248"/>
  <c r="G27" i="248" s="1" a="1"/>
  <c r="G27" i="248" s="1"/>
  <c r="AL19" i="258"/>
  <c r="K28" i="145" s="1"/>
  <c r="AL18" i="258"/>
  <c r="K27" i="145" s="1"/>
  <c r="H16" i="256"/>
  <c r="G17" i="256"/>
  <c r="I16" i="254"/>
  <c r="H17" i="254"/>
  <c r="H16" i="255"/>
  <c r="G17" i="255"/>
  <c r="H18" i="250"/>
  <c r="H27" i="250" s="1" a="1"/>
  <c r="H27" i="250" s="1"/>
  <c r="F14" i="249"/>
  <c r="G16" i="249"/>
  <c r="G14" i="249" s="1"/>
  <c r="F17" i="249"/>
  <c r="F18" i="255"/>
  <c r="F18" i="252"/>
  <c r="F15" i="252"/>
  <c r="F18" i="256"/>
  <c r="F15" i="256"/>
  <c r="G18" i="254"/>
  <c r="F15" i="254"/>
  <c r="H18" i="257"/>
  <c r="H27" i="257" s="1" a="1"/>
  <c r="H27" i="257" s="1"/>
  <c r="G14" i="255"/>
  <c r="S199" i="145"/>
  <c r="P199" i="145"/>
  <c r="T199" i="145"/>
  <c r="Q199" i="145"/>
  <c r="N199" i="145"/>
  <c r="U199" i="145"/>
  <c r="K199" i="145"/>
  <c r="R199" i="145"/>
  <c r="O199" i="145"/>
  <c r="V198" i="145"/>
  <c r="AF24" i="139" s="1"/>
  <c r="T24" i="139"/>
  <c r="R24" i="139"/>
  <c r="P24" i="139"/>
  <c r="AD24" i="139"/>
  <c r="AB24" i="139"/>
  <c r="Z24" i="139"/>
  <c r="X24" i="139"/>
  <c r="V24" i="139"/>
  <c r="N24" i="139"/>
  <c r="L24" i="139"/>
  <c r="J24" i="139"/>
  <c r="F27" i="257" l="1" a="1"/>
  <c r="F27" i="257" s="1"/>
  <c r="F27" i="255" a="1"/>
  <c r="F27" i="255" s="1"/>
  <c r="F27" i="256" a="1"/>
  <c r="F27" i="256" s="1"/>
  <c r="F27" i="248" a="1"/>
  <c r="F27" i="248" s="1"/>
  <c r="F27" i="253" a="1"/>
  <c r="F27" i="253" s="1"/>
  <c r="F15" i="253"/>
  <c r="F27" i="250" a="1"/>
  <c r="F27" i="250" s="1"/>
  <c r="I17" i="248"/>
  <c r="J16" i="248"/>
  <c r="I14" i="248"/>
  <c r="J16" i="250"/>
  <c r="I17" i="250"/>
  <c r="I14" i="250"/>
  <c r="H17" i="258"/>
  <c r="H14" i="258"/>
  <c r="I16" i="258"/>
  <c r="F15" i="258"/>
  <c r="G18" i="258"/>
  <c r="G27" i="258" a="1"/>
  <c r="G27" i="258" s="1"/>
  <c r="G18" i="249"/>
  <c r="I18" i="257"/>
  <c r="AL19" i="250"/>
  <c r="S28" i="145" s="1"/>
  <c r="AL18" i="250"/>
  <c r="S27" i="145" s="1"/>
  <c r="AM18" i="254"/>
  <c r="O37" i="145" s="1"/>
  <c r="AM51" i="254"/>
  <c r="AL19" i="252"/>
  <c r="Q28" i="145" s="1"/>
  <c r="AL18" i="252"/>
  <c r="Q27" i="145" s="1"/>
  <c r="I16" i="252"/>
  <c r="H17" i="252"/>
  <c r="H14" i="252"/>
  <c r="H14" i="251"/>
  <c r="G15" i="251" s="1"/>
  <c r="I16" i="251"/>
  <c r="H17" i="251"/>
  <c r="AL19" i="253"/>
  <c r="P28" i="145" s="1"/>
  <c r="AL18" i="253"/>
  <c r="P27" i="145" s="1"/>
  <c r="F27" i="252" a="1"/>
  <c r="F27" i="252" s="1"/>
  <c r="G27" i="256" a="1"/>
  <c r="G27" i="256" s="1"/>
  <c r="G18" i="251"/>
  <c r="F15" i="251"/>
  <c r="G18" i="255"/>
  <c r="G27" i="255" s="1" a="1"/>
  <c r="G27" i="255" s="1"/>
  <c r="G27" i="254" a="1"/>
  <c r="G27" i="254" s="1"/>
  <c r="I16" i="255"/>
  <c r="H17" i="255"/>
  <c r="H14" i="255"/>
  <c r="K16" i="257"/>
  <c r="J17" i="257"/>
  <c r="J14" i="257"/>
  <c r="AL18" i="255"/>
  <c r="N27" i="145" s="1"/>
  <c r="AL19" i="255"/>
  <c r="N28" i="145" s="1"/>
  <c r="J16" i="254"/>
  <c r="I14" i="254"/>
  <c r="I17" i="254"/>
  <c r="AM51" i="251"/>
  <c r="AM18" i="251"/>
  <c r="R37" i="145" s="1"/>
  <c r="J16" i="253"/>
  <c r="I17" i="253"/>
  <c r="I14" i="253"/>
  <c r="H15" i="253" s="1"/>
  <c r="F15" i="255"/>
  <c r="G18" i="252"/>
  <c r="G27" i="252" s="1" a="1"/>
  <c r="G27" i="252" s="1"/>
  <c r="G15" i="255"/>
  <c r="H17" i="256"/>
  <c r="I16" i="256"/>
  <c r="H14" i="256"/>
  <c r="AL19" i="248"/>
  <c r="U28" i="145" s="1"/>
  <c r="AL18" i="248"/>
  <c r="U27" i="145" s="1"/>
  <c r="H18" i="253"/>
  <c r="H27" i="253" s="1" a="1"/>
  <c r="H27" i="253" s="1"/>
  <c r="H16" i="249"/>
  <c r="G17" i="249"/>
  <c r="F27" i="249" a="1"/>
  <c r="F27" i="249" s="1"/>
  <c r="F15" i="249"/>
  <c r="F18" i="249"/>
  <c r="AL18" i="257"/>
  <c r="L27" i="145" s="1"/>
  <c r="AL19" i="257"/>
  <c r="L28" i="145" s="1"/>
  <c r="AL19" i="256"/>
  <c r="M28" i="145" s="1"/>
  <c r="AL18" i="256"/>
  <c r="M27" i="145" s="1"/>
  <c r="AM18" i="258"/>
  <c r="K37" i="145" s="1"/>
  <c r="AM51" i="258"/>
  <c r="AD16" i="139"/>
  <c r="AB16" i="139"/>
  <c r="Z16" i="139"/>
  <c r="X16" i="139"/>
  <c r="V16" i="139"/>
  <c r="T16" i="139"/>
  <c r="R16" i="139"/>
  <c r="P16" i="139"/>
  <c r="N16" i="139"/>
  <c r="L16" i="139"/>
  <c r="J16" i="139"/>
  <c r="I18" i="248" l="1"/>
  <c r="H15" i="248"/>
  <c r="K16" i="248"/>
  <c r="J17" i="248"/>
  <c r="J14" i="248"/>
  <c r="J18" i="248" s="1"/>
  <c r="H15" i="250"/>
  <c r="I18" i="250"/>
  <c r="J17" i="250"/>
  <c r="K16" i="250"/>
  <c r="J14" i="250"/>
  <c r="I14" i="258"/>
  <c r="J16" i="258"/>
  <c r="I17" i="258"/>
  <c r="H18" i="258"/>
  <c r="G15" i="258"/>
  <c r="I17" i="255"/>
  <c r="J16" i="255"/>
  <c r="I14" i="255"/>
  <c r="AM51" i="252"/>
  <c r="AM18" i="252"/>
  <c r="Q37" i="145" s="1"/>
  <c r="H18" i="256"/>
  <c r="H27" i="256" s="1" a="1"/>
  <c r="H27" i="256" s="1"/>
  <c r="G15" i="256"/>
  <c r="J16" i="256"/>
  <c r="I17" i="256"/>
  <c r="I14" i="256"/>
  <c r="I18" i="254"/>
  <c r="H15" i="254"/>
  <c r="AM51" i="257"/>
  <c r="AM18" i="257"/>
  <c r="L37" i="145" s="1"/>
  <c r="J17" i="254"/>
  <c r="J14" i="254"/>
  <c r="K16" i="254"/>
  <c r="AM18" i="253"/>
  <c r="P37" i="145" s="1"/>
  <c r="AM51" i="253"/>
  <c r="I27" i="257" a="1"/>
  <c r="I27" i="257" s="1"/>
  <c r="AM51" i="255"/>
  <c r="AM18" i="255"/>
  <c r="N37" i="145" s="1"/>
  <c r="I14" i="251"/>
  <c r="H15" i="251" s="1"/>
  <c r="J16" i="251"/>
  <c r="I17" i="251"/>
  <c r="J27" i="248" a="1"/>
  <c r="J27" i="248" s="1"/>
  <c r="AL18" i="249"/>
  <c r="T27" i="145" s="1"/>
  <c r="AL19" i="249"/>
  <c r="T28" i="145" s="1"/>
  <c r="H18" i="251"/>
  <c r="H27" i="251" s="1" a="1"/>
  <c r="H27" i="251" s="1"/>
  <c r="I18" i="253"/>
  <c r="H18" i="252"/>
  <c r="G15" i="252"/>
  <c r="J14" i="253"/>
  <c r="J17" i="253"/>
  <c r="K16" i="253"/>
  <c r="J18" i="257"/>
  <c r="J27" i="257" s="1" a="1"/>
  <c r="J27" i="257" s="1"/>
  <c r="I15" i="257"/>
  <c r="AM51" i="250"/>
  <c r="AM18" i="250"/>
  <c r="S37" i="145" s="1"/>
  <c r="J16" i="252"/>
  <c r="I17" i="252"/>
  <c r="I14" i="252"/>
  <c r="H15" i="252" s="1"/>
  <c r="K17" i="257"/>
  <c r="L16" i="257"/>
  <c r="K14" i="257"/>
  <c r="G27" i="251" a="1"/>
  <c r="G27" i="251" s="1"/>
  <c r="H18" i="255"/>
  <c r="AM18" i="256"/>
  <c r="M37" i="145" s="1"/>
  <c r="AM51" i="256"/>
  <c r="I16" i="249"/>
  <c r="H17" i="249"/>
  <c r="H14" i="249"/>
  <c r="AM51" i="248"/>
  <c r="AM18" i="248"/>
  <c r="U37" i="145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H27" i="255" l="1" a="1"/>
  <c r="H27" i="255" s="1"/>
  <c r="I27" i="248" a="1"/>
  <c r="I27" i="248" s="1"/>
  <c r="I27" i="250" a="1"/>
  <c r="I27" i="250" s="1"/>
  <c r="K14" i="248"/>
  <c r="K18" i="248" s="1"/>
  <c r="K17" i="248"/>
  <c r="L16" i="248"/>
  <c r="J15" i="248"/>
  <c r="I15" i="248"/>
  <c r="J18" i="250"/>
  <c r="K14" i="250"/>
  <c r="J15" i="250" s="1"/>
  <c r="L16" i="250"/>
  <c r="K17" i="250"/>
  <c r="I15" i="250"/>
  <c r="J14" i="258"/>
  <c r="J17" i="258"/>
  <c r="K16" i="258"/>
  <c r="H15" i="258"/>
  <c r="I18" i="258"/>
  <c r="I27" i="258" s="1" a="1"/>
  <c r="I27" i="258" s="1"/>
  <c r="K16" i="252"/>
  <c r="J17" i="252"/>
  <c r="J14" i="252"/>
  <c r="I18" i="256"/>
  <c r="L16" i="254"/>
  <c r="K14" i="254"/>
  <c r="J15" i="254" s="1"/>
  <c r="K17" i="254"/>
  <c r="I18" i="255"/>
  <c r="H15" i="255"/>
  <c r="J18" i="254"/>
  <c r="J17" i="256"/>
  <c r="K16" i="256"/>
  <c r="J14" i="256"/>
  <c r="J17" i="255"/>
  <c r="K16" i="255"/>
  <c r="J14" i="255"/>
  <c r="L16" i="253"/>
  <c r="K17" i="253"/>
  <c r="K14" i="253"/>
  <c r="AM51" i="249"/>
  <c r="AM18" i="249"/>
  <c r="T37" i="145" s="1"/>
  <c r="H15" i="256"/>
  <c r="J18" i="253"/>
  <c r="J27" i="253" s="1" a="1"/>
  <c r="J27" i="253" s="1"/>
  <c r="H18" i="249"/>
  <c r="H27" i="249" s="1" a="1"/>
  <c r="H27" i="249" s="1"/>
  <c r="G15" i="249"/>
  <c r="K18" i="257"/>
  <c r="J15" i="257"/>
  <c r="M16" i="257"/>
  <c r="L17" i="257"/>
  <c r="L14" i="257"/>
  <c r="K16" i="251"/>
  <c r="J17" i="251"/>
  <c r="J14" i="251"/>
  <c r="I15" i="256"/>
  <c r="I18" i="251"/>
  <c r="I27" i="251" s="1" a="1"/>
  <c r="I27" i="251" s="1"/>
  <c r="I15" i="254"/>
  <c r="I18" i="252"/>
  <c r="I27" i="252" s="1" a="1"/>
  <c r="I27" i="252" s="1"/>
  <c r="I27" i="254" a="1"/>
  <c r="I27" i="254" s="1"/>
  <c r="I17" i="249"/>
  <c r="J16" i="249"/>
  <c r="I14" i="249"/>
  <c r="I27" i="253" a="1"/>
  <c r="I27" i="253" s="1"/>
  <c r="I15" i="253"/>
  <c r="I232" i="145"/>
  <c r="W229" i="145"/>
  <c r="I229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1" i="145" a="1"/>
  <c r="J191" i="145" s="1"/>
  <c r="J180" i="145"/>
  <c r="H16" i="139" s="1"/>
  <c r="J164" i="145"/>
  <c r="J162" i="145"/>
  <c r="J24" i="145"/>
  <c r="AD35" i="139"/>
  <c r="AB35" i="139"/>
  <c r="Z35" i="139"/>
  <c r="X35" i="139"/>
  <c r="V35" i="139"/>
  <c r="T35" i="139"/>
  <c r="R35" i="139"/>
  <c r="P35" i="139"/>
  <c r="N35" i="139"/>
  <c r="L35" i="139"/>
  <c r="J35" i="139"/>
  <c r="AD17" i="139"/>
  <c r="AB17" i="139"/>
  <c r="Z17" i="139"/>
  <c r="X17" i="139"/>
  <c r="V17" i="139"/>
  <c r="T17" i="139"/>
  <c r="R17" i="139"/>
  <c r="P17" i="139"/>
  <c r="N17" i="139"/>
  <c r="L17" i="139"/>
  <c r="J17" i="139"/>
  <c r="U93" i="145"/>
  <c r="T93" i="145"/>
  <c r="S93" i="145"/>
  <c r="R93" i="145"/>
  <c r="Q93" i="145"/>
  <c r="P93" i="145"/>
  <c r="O93" i="145"/>
  <c r="N93" i="145"/>
  <c r="M93" i="145"/>
  <c r="L93" i="145"/>
  <c r="K93" i="145"/>
  <c r="AM35" i="135"/>
  <c r="AM36" i="135"/>
  <c r="AM37" i="135"/>
  <c r="AM38" i="135"/>
  <c r="AM39" i="135"/>
  <c r="AM40" i="135"/>
  <c r="AM41" i="135"/>
  <c r="AM42" i="135"/>
  <c r="AM43" i="135"/>
  <c r="AM44" i="135"/>
  <c r="AM46" i="135"/>
  <c r="AM47" i="135"/>
  <c r="AM34" i="135"/>
  <c r="C438" i="28"/>
  <c r="G24" i="144"/>
  <c r="J21" i="144"/>
  <c r="J20" i="144"/>
  <c r="L17" i="248" l="1"/>
  <c r="L14" i="248"/>
  <c r="M16" i="248"/>
  <c r="L17" i="250"/>
  <c r="M16" i="250"/>
  <c r="L14" i="250"/>
  <c r="K18" i="250"/>
  <c r="K15" i="250"/>
  <c r="K14" i="258"/>
  <c r="K18" i="258" s="1"/>
  <c r="L16" i="258"/>
  <c r="K17" i="258"/>
  <c r="J18" i="258"/>
  <c r="J27" i="258" s="1" a="1"/>
  <c r="J27" i="258" s="1"/>
  <c r="I15" i="258"/>
  <c r="L16" i="256"/>
  <c r="K17" i="256"/>
  <c r="K14" i="256"/>
  <c r="L18" i="257"/>
  <c r="K18" i="254"/>
  <c r="L17" i="254"/>
  <c r="M16" i="254"/>
  <c r="L14" i="254"/>
  <c r="M17" i="257"/>
  <c r="M14" i="257"/>
  <c r="L15" i="257" s="1"/>
  <c r="N16" i="257"/>
  <c r="I18" i="249"/>
  <c r="I27" i="249" s="1" a="1"/>
  <c r="I27" i="249" s="1"/>
  <c r="K16" i="249"/>
  <c r="J17" i="249"/>
  <c r="J14" i="249"/>
  <c r="I15" i="249" s="1"/>
  <c r="K18" i="253"/>
  <c r="J27" i="254" a="1"/>
  <c r="J27" i="254" s="1"/>
  <c r="I27" i="256" a="1"/>
  <c r="I27" i="256" s="1"/>
  <c r="L17" i="253"/>
  <c r="M16" i="253"/>
  <c r="L14" i="253"/>
  <c r="J18" i="252"/>
  <c r="I15" i="252"/>
  <c r="L16" i="252"/>
  <c r="K17" i="252"/>
  <c r="K14" i="252"/>
  <c r="K15" i="257"/>
  <c r="H15" i="249"/>
  <c r="J18" i="251"/>
  <c r="J18" i="255"/>
  <c r="I15" i="255"/>
  <c r="J15" i="253"/>
  <c r="K17" i="255"/>
  <c r="L16" i="255"/>
  <c r="K14" i="255"/>
  <c r="K14" i="251"/>
  <c r="L16" i="251"/>
  <c r="K17" i="251"/>
  <c r="I15" i="251"/>
  <c r="J18" i="256"/>
  <c r="V191" i="145"/>
  <c r="AF19" i="139" s="1"/>
  <c r="H42" i="139" s="1"/>
  <c r="H19" i="139"/>
  <c r="R94" i="145"/>
  <c r="S94" i="145"/>
  <c r="T94" i="145"/>
  <c r="U94" i="145"/>
  <c r="L94" i="145"/>
  <c r="M94" i="145"/>
  <c r="N94" i="145"/>
  <c r="K94" i="145"/>
  <c r="O94" i="145"/>
  <c r="P94" i="145"/>
  <c r="Q94" i="145"/>
  <c r="Q81" i="145"/>
  <c r="Q83" i="145" s="1"/>
  <c r="Q90" i="145" s="1"/>
  <c r="R81" i="145"/>
  <c r="R83" i="145" s="1"/>
  <c r="R90" i="145" s="1"/>
  <c r="S81" i="145"/>
  <c r="S83" i="145" s="1"/>
  <c r="S90" i="145" s="1"/>
  <c r="T81" i="145"/>
  <c r="T83" i="145" s="1"/>
  <c r="T90" i="145" s="1"/>
  <c r="L81" i="145"/>
  <c r="L83" i="145" s="1"/>
  <c r="L90" i="145" s="1"/>
  <c r="M81" i="145"/>
  <c r="M83" i="145" s="1"/>
  <c r="M90" i="145" s="1"/>
  <c r="U81" i="145"/>
  <c r="U83" i="145" s="1"/>
  <c r="U90" i="145" s="1"/>
  <c r="N81" i="145"/>
  <c r="N83" i="145" s="1"/>
  <c r="N90" i="145" s="1"/>
  <c r="O81" i="145"/>
  <c r="O83" i="145" s="1"/>
  <c r="O90" i="145" s="1"/>
  <c r="P81" i="145"/>
  <c r="P83" i="145" s="1"/>
  <c r="P90" i="145" s="1"/>
  <c r="K81" i="145"/>
  <c r="AM48" i="135"/>
  <c r="V127" i="145"/>
  <c r="I126" i="145"/>
  <c r="V137" i="145"/>
  <c r="V138" i="145"/>
  <c r="G340" i="28"/>
  <c r="G338" i="28"/>
  <c r="G339" i="28"/>
  <c r="G341" i="28"/>
  <c r="G342" i="28"/>
  <c r="G343" i="28"/>
  <c r="G344" i="28"/>
  <c r="G345" i="28"/>
  <c r="G346" i="28"/>
  <c r="G347" i="28"/>
  <c r="G348" i="28"/>
  <c r="AD34" i="139"/>
  <c r="AB34" i="139"/>
  <c r="Z34" i="139"/>
  <c r="X34" i="139"/>
  <c r="X29" i="139"/>
  <c r="V34" i="139"/>
  <c r="V29" i="139"/>
  <c r="T34" i="139"/>
  <c r="T29" i="139"/>
  <c r="R34" i="139"/>
  <c r="R29" i="139"/>
  <c r="P34" i="139"/>
  <c r="P29" i="139"/>
  <c r="N34" i="139"/>
  <c r="N29" i="139"/>
  <c r="L34" i="139"/>
  <c r="L29" i="139"/>
  <c r="J34" i="139"/>
  <c r="J29" i="139"/>
  <c r="H34" i="139"/>
  <c r="H29" i="139"/>
  <c r="AD19" i="139"/>
  <c r="AB19" i="139"/>
  <c r="Z19" i="139"/>
  <c r="X19" i="139"/>
  <c r="T19" i="139"/>
  <c r="R19" i="139"/>
  <c r="P19" i="139"/>
  <c r="N19" i="139"/>
  <c r="L19" i="139"/>
  <c r="J19" i="139"/>
  <c r="I160" i="145"/>
  <c r="I178" i="145"/>
  <c r="V178" i="145" s="1"/>
  <c r="H40" i="139" s="1"/>
  <c r="AI31" i="135"/>
  <c r="AJ31" i="135"/>
  <c r="AH31" i="135"/>
  <c r="G31" i="135"/>
  <c r="H31" i="135"/>
  <c r="I31" i="135"/>
  <c r="J31" i="135"/>
  <c r="K31" i="135"/>
  <c r="L31" i="135"/>
  <c r="M31" i="135"/>
  <c r="N31" i="135"/>
  <c r="O31" i="135"/>
  <c r="P31" i="135"/>
  <c r="Q31" i="135"/>
  <c r="R31" i="135"/>
  <c r="S31" i="135"/>
  <c r="T31" i="135"/>
  <c r="U31" i="135"/>
  <c r="V31" i="135"/>
  <c r="W31" i="135"/>
  <c r="X31" i="135"/>
  <c r="Y31" i="135"/>
  <c r="Z31" i="135"/>
  <c r="AA31" i="135"/>
  <c r="AB31" i="135"/>
  <c r="AC31" i="135"/>
  <c r="AD31" i="135"/>
  <c r="AE31" i="135"/>
  <c r="AF31" i="135"/>
  <c r="AG31" i="135"/>
  <c r="F31" i="135"/>
  <c r="AL51" i="135"/>
  <c r="J218" i="145" s="1"/>
  <c r="AL50" i="135"/>
  <c r="J217" i="145" s="1"/>
  <c r="G22" i="144"/>
  <c r="G23" i="144"/>
  <c r="G21" i="144"/>
  <c r="M17" i="248" l="1"/>
  <c r="N16" i="248"/>
  <c r="M14" i="248"/>
  <c r="L15" i="248" s="1"/>
  <c r="K15" i="248"/>
  <c r="L18" i="248"/>
  <c r="L18" i="250"/>
  <c r="N16" i="250"/>
  <c r="M17" i="250"/>
  <c r="M14" i="250"/>
  <c r="L14" i="258"/>
  <c r="L17" i="258"/>
  <c r="M16" i="258"/>
  <c r="J15" i="258"/>
  <c r="J27" i="251" a="1"/>
  <c r="J27" i="251" s="1"/>
  <c r="K18" i="255"/>
  <c r="L18" i="253"/>
  <c r="K15" i="253"/>
  <c r="L17" i="255"/>
  <c r="M16" i="255"/>
  <c r="L14" i="255"/>
  <c r="K15" i="255" s="1"/>
  <c r="N16" i="253"/>
  <c r="M17" i="253"/>
  <c r="M14" i="253"/>
  <c r="L15" i="253" s="1"/>
  <c r="N17" i="257"/>
  <c r="N14" i="257"/>
  <c r="O16" i="257"/>
  <c r="J18" i="249"/>
  <c r="J27" i="249" s="1" a="1"/>
  <c r="J27" i="249" s="1"/>
  <c r="M18" i="257"/>
  <c r="J27" i="256" a="1"/>
  <c r="J27" i="256" s="1"/>
  <c r="J15" i="255"/>
  <c r="L16" i="249"/>
  <c r="K17" i="249"/>
  <c r="K14" i="249"/>
  <c r="J15" i="249" s="1"/>
  <c r="L27" i="257" a="1"/>
  <c r="L27" i="257" s="1"/>
  <c r="K18" i="252"/>
  <c r="J15" i="252"/>
  <c r="K18" i="256"/>
  <c r="J15" i="256"/>
  <c r="L14" i="251"/>
  <c r="M16" i="251"/>
  <c r="L17" i="251"/>
  <c r="K18" i="251"/>
  <c r="M16" i="252"/>
  <c r="L17" i="252"/>
  <c r="L14" i="252"/>
  <c r="J27" i="252" a="1"/>
  <c r="J27" i="252" s="1"/>
  <c r="L17" i="256"/>
  <c r="M16" i="256"/>
  <c r="L14" i="256"/>
  <c r="J27" i="255" a="1"/>
  <c r="J27" i="255" s="1"/>
  <c r="L18" i="254"/>
  <c r="L27" i="254" s="1" a="1"/>
  <c r="L27" i="254" s="1"/>
  <c r="K15" i="254"/>
  <c r="N16" i="254"/>
  <c r="M14" i="254"/>
  <c r="M17" i="254"/>
  <c r="J15" i="251"/>
  <c r="K83" i="145"/>
  <c r="AL31" i="135"/>
  <c r="J124" i="145" s="1"/>
  <c r="V217" i="145"/>
  <c r="V180" i="145"/>
  <c r="AP54" i="144"/>
  <c r="L27" i="250" l="1" a="1"/>
  <c r="L27" i="250" s="1"/>
  <c r="L27" i="253" a="1"/>
  <c r="L27" i="253" s="1"/>
  <c r="M18" i="248"/>
  <c r="M27" i="248" s="1" a="1"/>
  <c r="M27" i="248" s="1"/>
  <c r="N14" i="248"/>
  <c r="N17" i="248"/>
  <c r="O16" i="248"/>
  <c r="O16" i="250"/>
  <c r="N14" i="250"/>
  <c r="M15" i="250" s="1"/>
  <c r="N17" i="250"/>
  <c r="M18" i="250"/>
  <c r="L15" i="250"/>
  <c r="M14" i="258"/>
  <c r="N16" i="258"/>
  <c r="M17" i="258"/>
  <c r="L18" i="258"/>
  <c r="L27" i="258" s="1" a="1"/>
  <c r="L27" i="258" s="1"/>
  <c r="K15" i="258"/>
  <c r="K18" i="249"/>
  <c r="M27" i="257" a="1"/>
  <c r="M27" i="257" s="1"/>
  <c r="L18" i="252"/>
  <c r="L27" i="252" s="1" a="1"/>
  <c r="L27" i="252" s="1"/>
  <c r="K15" i="252"/>
  <c r="L17" i="249"/>
  <c r="M16" i="249"/>
  <c r="L14" i="249"/>
  <c r="N16" i="252"/>
  <c r="M17" i="252"/>
  <c r="M14" i="252"/>
  <c r="M18" i="254"/>
  <c r="L15" i="254"/>
  <c r="N17" i="254"/>
  <c r="O16" i="254"/>
  <c r="N14" i="254"/>
  <c r="M18" i="253"/>
  <c r="N17" i="253"/>
  <c r="O16" i="253"/>
  <c r="N14" i="253"/>
  <c r="L18" i="256"/>
  <c r="K15" i="256"/>
  <c r="O17" i="257"/>
  <c r="O14" i="257"/>
  <c r="N15" i="257" s="1"/>
  <c r="P16" i="257"/>
  <c r="L18" i="255"/>
  <c r="L27" i="255" s="1" a="1"/>
  <c r="L27" i="255" s="1"/>
  <c r="N16" i="256"/>
  <c r="M17" i="256"/>
  <c r="M14" i="256"/>
  <c r="N16" i="251"/>
  <c r="M17" i="251"/>
  <c r="M14" i="251"/>
  <c r="N18" i="257"/>
  <c r="M15" i="257"/>
  <c r="N16" i="255"/>
  <c r="M17" i="255"/>
  <c r="M14" i="255"/>
  <c r="L18" i="251"/>
  <c r="K15" i="251"/>
  <c r="AF16" i="139"/>
  <c r="K90" i="145"/>
  <c r="V124" i="145"/>
  <c r="AF40" i="139"/>
  <c r="L27" i="256" l="1" a="1"/>
  <c r="L27" i="256" s="1"/>
  <c r="M27" i="250" a="1"/>
  <c r="M27" i="250" s="1"/>
  <c r="N18" i="248"/>
  <c r="N27" i="248" s="1" a="1"/>
  <c r="N27" i="248" s="1"/>
  <c r="M15" i="248"/>
  <c r="P16" i="248"/>
  <c r="O14" i="248"/>
  <c r="O17" i="248"/>
  <c r="N18" i="250"/>
  <c r="N27" i="250" s="1" a="1"/>
  <c r="N27" i="250" s="1"/>
  <c r="P16" i="250"/>
  <c r="O14" i="250"/>
  <c r="O17" i="250"/>
  <c r="N14" i="258"/>
  <c r="O16" i="258"/>
  <c r="N17" i="258"/>
  <c r="L15" i="258"/>
  <c r="M18" i="258"/>
  <c r="M27" i="258" s="1" a="1"/>
  <c r="M27" i="258" s="1"/>
  <c r="P16" i="254"/>
  <c r="O17" i="254"/>
  <c r="O14" i="254"/>
  <c r="M18" i="252"/>
  <c r="M27" i="252" s="1" a="1"/>
  <c r="M27" i="252" s="1"/>
  <c r="O16" i="255"/>
  <c r="N17" i="255"/>
  <c r="N14" i="255"/>
  <c r="N17" i="252"/>
  <c r="O16" i="252"/>
  <c r="N14" i="252"/>
  <c r="M15" i="252" s="1"/>
  <c r="N18" i="253"/>
  <c r="M15" i="253"/>
  <c r="M27" i="253" a="1"/>
  <c r="M27" i="253" s="1"/>
  <c r="P17" i="257"/>
  <c r="Q16" i="257"/>
  <c r="P14" i="257"/>
  <c r="P16" i="253"/>
  <c r="O17" i="253"/>
  <c r="O14" i="253"/>
  <c r="O27" i="257" a="1"/>
  <c r="O27" i="257" s="1"/>
  <c r="O18" i="257"/>
  <c r="L27" i="249" a="1"/>
  <c r="L27" i="249" s="1"/>
  <c r="L18" i="249"/>
  <c r="K15" i="249"/>
  <c r="M18" i="251"/>
  <c r="M27" i="251" s="1" a="1"/>
  <c r="M27" i="251" s="1"/>
  <c r="L15" i="251"/>
  <c r="N16" i="249"/>
  <c r="M17" i="249"/>
  <c r="M14" i="249"/>
  <c r="N17" i="251"/>
  <c r="O16" i="251"/>
  <c r="N14" i="251"/>
  <c r="M18" i="256"/>
  <c r="L15" i="256"/>
  <c r="N17" i="256"/>
  <c r="O16" i="256"/>
  <c r="N14" i="256"/>
  <c r="M15" i="256" s="1"/>
  <c r="L15" i="252"/>
  <c r="M18" i="255"/>
  <c r="L15" i="255"/>
  <c r="N18" i="254"/>
  <c r="M15" i="254"/>
  <c r="V160" i="145"/>
  <c r="V165" i="145"/>
  <c r="V162" i="145"/>
  <c r="Q16" i="248" l="1"/>
  <c r="P17" i="248"/>
  <c r="P14" i="248"/>
  <c r="O18" i="248"/>
  <c r="O27" i="248" s="1" a="1"/>
  <c r="O27" i="248" s="1"/>
  <c r="N15" i="248"/>
  <c r="P17" i="250"/>
  <c r="P14" i="250"/>
  <c r="Q16" i="250"/>
  <c r="O18" i="250"/>
  <c r="O27" i="250" s="1" a="1"/>
  <c r="O27" i="250" s="1"/>
  <c r="N15" i="250"/>
  <c r="O14" i="258"/>
  <c r="O17" i="258"/>
  <c r="P16" i="258"/>
  <c r="M15" i="258"/>
  <c r="N18" i="258"/>
  <c r="N27" i="258" s="1" a="1"/>
  <c r="N27" i="258" s="1"/>
  <c r="M18" i="249"/>
  <c r="O18" i="253"/>
  <c r="O27" i="253" s="1" a="1"/>
  <c r="O27" i="253" s="1"/>
  <c r="O16" i="249"/>
  <c r="N17" i="249"/>
  <c r="N14" i="249"/>
  <c r="P17" i="253"/>
  <c r="Q16" i="253"/>
  <c r="P14" i="253"/>
  <c r="O15" i="253" s="1"/>
  <c r="P18" i="257"/>
  <c r="P27" i="257" s="1" a="1"/>
  <c r="P27" i="257" s="1"/>
  <c r="O15" i="257"/>
  <c r="Q17" i="257"/>
  <c r="R16" i="257"/>
  <c r="Q14" i="257"/>
  <c r="N27" i="254" a="1"/>
  <c r="N27" i="254" s="1"/>
  <c r="O18" i="254"/>
  <c r="M27" i="256" a="1"/>
  <c r="M27" i="256" s="1"/>
  <c r="M27" i="255" a="1"/>
  <c r="M27" i="255" s="1"/>
  <c r="M15" i="251"/>
  <c r="N18" i="252"/>
  <c r="P17" i="254"/>
  <c r="P14" i="254"/>
  <c r="Q16" i="254"/>
  <c r="P16" i="252"/>
  <c r="O17" i="252"/>
  <c r="O14" i="252"/>
  <c r="N18" i="251"/>
  <c r="O14" i="251"/>
  <c r="P16" i="251"/>
  <c r="O17" i="251"/>
  <c r="N18" i="256"/>
  <c r="N27" i="256" s="1" a="1"/>
  <c r="N27" i="256" s="1"/>
  <c r="N18" i="255"/>
  <c r="M15" i="255"/>
  <c r="N15" i="254"/>
  <c r="P16" i="256"/>
  <c r="O17" i="256"/>
  <c r="O14" i="256"/>
  <c r="M15" i="249"/>
  <c r="N27" i="253" a="1"/>
  <c r="N27" i="253" s="1"/>
  <c r="N15" i="253"/>
  <c r="L15" i="249"/>
  <c r="P16" i="255"/>
  <c r="O17" i="255"/>
  <c r="O14" i="255"/>
  <c r="V164" i="145"/>
  <c r="AF34" i="139" s="1"/>
  <c r="P18" i="248" l="1"/>
  <c r="P27" i="248" s="1" a="1"/>
  <c r="P27" i="248" s="1"/>
  <c r="O15" i="248"/>
  <c r="Q14" i="248"/>
  <c r="Q18" i="248" s="1"/>
  <c r="R16" i="248"/>
  <c r="Q17" i="248"/>
  <c r="Q14" i="250"/>
  <c r="Q17" i="250"/>
  <c r="R16" i="250"/>
  <c r="P18" i="250"/>
  <c r="P27" i="250" a="1"/>
  <c r="P27" i="250" s="1"/>
  <c r="O15" i="250"/>
  <c r="P14" i="258"/>
  <c r="O15" i="258" s="1"/>
  <c r="Q16" i="258"/>
  <c r="P17" i="258"/>
  <c r="N15" i="258"/>
  <c r="O18" i="258"/>
  <c r="R16" i="254"/>
  <c r="Q17" i="254"/>
  <c r="Q14" i="254"/>
  <c r="P15" i="254" s="1"/>
  <c r="P17" i="256"/>
  <c r="Q16" i="256"/>
  <c r="P14" i="256"/>
  <c r="O15" i="256" s="1"/>
  <c r="P18" i="254"/>
  <c r="P27" i="254" s="1" a="1"/>
  <c r="P27" i="254" s="1"/>
  <c r="O15" i="254"/>
  <c r="P14" i="251"/>
  <c r="O15" i="251" s="1"/>
  <c r="Q16" i="251"/>
  <c r="P17" i="251"/>
  <c r="O18" i="251"/>
  <c r="O18" i="255"/>
  <c r="O27" i="255" s="1" a="1"/>
  <c r="O27" i="255" s="1"/>
  <c r="N15" i="255"/>
  <c r="M27" i="249" a="1"/>
  <c r="M27" i="249" s="1"/>
  <c r="N27" i="252" a="1"/>
  <c r="N27" i="252" s="1"/>
  <c r="N18" i="249"/>
  <c r="N27" i="255" a="1"/>
  <c r="N27" i="255" s="1"/>
  <c r="Q16" i="255"/>
  <c r="P17" i="255"/>
  <c r="P14" i="255"/>
  <c r="O27" i="254" a="1"/>
  <c r="O27" i="254" s="1"/>
  <c r="O17" i="249"/>
  <c r="P16" i="249"/>
  <c r="O14" i="249"/>
  <c r="N27" i="251" a="1"/>
  <c r="N27" i="251" s="1"/>
  <c r="Q27" i="248" a="1"/>
  <c r="Q27" i="248" s="1"/>
  <c r="O18" i="252"/>
  <c r="N15" i="252"/>
  <c r="Q18" i="257"/>
  <c r="Q27" i="257" s="1" a="1"/>
  <c r="Q27" i="257" s="1"/>
  <c r="P15" i="257"/>
  <c r="R17" i="257"/>
  <c r="S16" i="257"/>
  <c r="R14" i="257"/>
  <c r="P18" i="253"/>
  <c r="P27" i="253" s="1" a="1"/>
  <c r="P27" i="253" s="1"/>
  <c r="N15" i="251"/>
  <c r="O18" i="256"/>
  <c r="O27" i="256" s="1" a="1"/>
  <c r="O27" i="256" s="1"/>
  <c r="N15" i="256"/>
  <c r="Q16" i="252"/>
  <c r="P17" i="252"/>
  <c r="P14" i="252"/>
  <c r="Q17" i="253"/>
  <c r="R16" i="253"/>
  <c r="Q14" i="253"/>
  <c r="S16" i="248" l="1"/>
  <c r="R14" i="248"/>
  <c r="R17" i="248"/>
  <c r="P15" i="248"/>
  <c r="R17" i="250"/>
  <c r="R14" i="250"/>
  <c r="S16" i="250"/>
  <c r="Q18" i="250"/>
  <c r="P15" i="250"/>
  <c r="Q14" i="258"/>
  <c r="Q17" i="258"/>
  <c r="R16" i="258"/>
  <c r="P18" i="258"/>
  <c r="P27" i="258" s="1" a="1"/>
  <c r="P27" i="258" s="1"/>
  <c r="P15" i="258"/>
  <c r="O18" i="249"/>
  <c r="R18" i="257"/>
  <c r="Q15" i="257"/>
  <c r="Q16" i="249"/>
  <c r="P17" i="249"/>
  <c r="P14" i="249"/>
  <c r="O15" i="249" s="1"/>
  <c r="Q18" i="253"/>
  <c r="Q27" i="253" s="1" a="1"/>
  <c r="Q27" i="253" s="1"/>
  <c r="P15" i="253"/>
  <c r="R17" i="253"/>
  <c r="S16" i="253"/>
  <c r="R14" i="253"/>
  <c r="Q15" i="253" s="1"/>
  <c r="P18" i="256"/>
  <c r="P18" i="252"/>
  <c r="P27" i="252" s="1" a="1"/>
  <c r="P27" i="252" s="1"/>
  <c r="O15" i="252"/>
  <c r="P18" i="255"/>
  <c r="O15" i="255"/>
  <c r="R16" i="256"/>
  <c r="Q14" i="256"/>
  <c r="Q17" i="256"/>
  <c r="R16" i="252"/>
  <c r="Q17" i="252"/>
  <c r="Q14" i="252"/>
  <c r="T16" i="257"/>
  <c r="S17" i="257"/>
  <c r="S14" i="257"/>
  <c r="R16" i="255"/>
  <c r="Q17" i="255"/>
  <c r="Q14" i="255"/>
  <c r="P15" i="255" s="1"/>
  <c r="Q18" i="254"/>
  <c r="O27" i="251" a="1"/>
  <c r="O27" i="251" s="1"/>
  <c r="S16" i="254"/>
  <c r="R17" i="254"/>
  <c r="R14" i="254"/>
  <c r="R16" i="251"/>
  <c r="Q17" i="251"/>
  <c r="Q14" i="251"/>
  <c r="P18" i="251"/>
  <c r="P27" i="251" s="1" a="1"/>
  <c r="P27" i="251" s="1"/>
  <c r="N15" i="249"/>
  <c r="V36" i="139"/>
  <c r="V26" i="139"/>
  <c r="V25" i="139"/>
  <c r="V22" i="139"/>
  <c r="V21" i="139"/>
  <c r="V20" i="139"/>
  <c r="V18" i="139"/>
  <c r="V33" i="139"/>
  <c r="V9" i="139"/>
  <c r="T36" i="139"/>
  <c r="T26" i="139"/>
  <c r="T25" i="139"/>
  <c r="T22" i="139"/>
  <c r="T21" i="139"/>
  <c r="T20" i="139"/>
  <c r="T18" i="139"/>
  <c r="T33" i="139"/>
  <c r="T9" i="139"/>
  <c r="R36" i="139"/>
  <c r="R26" i="139"/>
  <c r="R25" i="139"/>
  <c r="R22" i="139"/>
  <c r="R21" i="139"/>
  <c r="R20" i="139"/>
  <c r="R18" i="139"/>
  <c r="R33" i="139"/>
  <c r="R9" i="139"/>
  <c r="P36" i="139"/>
  <c r="P26" i="139"/>
  <c r="P25" i="139"/>
  <c r="P22" i="139"/>
  <c r="P21" i="139"/>
  <c r="P20" i="139"/>
  <c r="P18" i="139"/>
  <c r="P33" i="139"/>
  <c r="P9" i="139"/>
  <c r="AD36" i="139"/>
  <c r="AD26" i="139"/>
  <c r="AD25" i="139"/>
  <c r="AD22" i="139"/>
  <c r="AD21" i="139"/>
  <c r="AD20" i="139"/>
  <c r="AD18" i="139"/>
  <c r="AD33" i="139"/>
  <c r="AD9" i="139"/>
  <c r="AB36" i="139"/>
  <c r="AB26" i="139"/>
  <c r="AB25" i="139"/>
  <c r="AB22" i="139"/>
  <c r="AB21" i="139"/>
  <c r="AB20" i="139"/>
  <c r="AB18" i="139"/>
  <c r="AB33" i="139"/>
  <c r="AB9" i="139"/>
  <c r="Z36" i="139"/>
  <c r="Z26" i="139"/>
  <c r="Z25" i="139"/>
  <c r="Z22" i="139"/>
  <c r="Z21" i="139"/>
  <c r="Z20" i="139"/>
  <c r="Z18" i="139"/>
  <c r="Z33" i="139"/>
  <c r="Z9" i="139"/>
  <c r="X36" i="139"/>
  <c r="X26" i="139"/>
  <c r="X25" i="139"/>
  <c r="X22" i="139"/>
  <c r="X21" i="139"/>
  <c r="X20" i="139"/>
  <c r="X18" i="139"/>
  <c r="X33" i="139"/>
  <c r="X9" i="139"/>
  <c r="N36" i="139"/>
  <c r="N26" i="139"/>
  <c r="N25" i="139"/>
  <c r="N22" i="139"/>
  <c r="N21" i="139"/>
  <c r="N20" i="139"/>
  <c r="N18" i="139"/>
  <c r="N33" i="139"/>
  <c r="N9" i="139"/>
  <c r="L36" i="139"/>
  <c r="L26" i="139"/>
  <c r="L25" i="139"/>
  <c r="L22" i="139"/>
  <c r="L21" i="139"/>
  <c r="L20" i="139"/>
  <c r="L18" i="139"/>
  <c r="L33" i="139"/>
  <c r="L9" i="139"/>
  <c r="J36" i="139"/>
  <c r="J26" i="139"/>
  <c r="J25" i="139"/>
  <c r="J22" i="139"/>
  <c r="J21" i="139"/>
  <c r="J20" i="139"/>
  <c r="J18" i="139"/>
  <c r="J33" i="139"/>
  <c r="J9" i="139"/>
  <c r="B13" i="28"/>
  <c r="J4" i="144"/>
  <c r="Q15" i="248" l="1"/>
  <c r="R18" i="248"/>
  <c r="S14" i="248"/>
  <c r="S17" i="248"/>
  <c r="T16" i="248"/>
  <c r="S17" i="250"/>
  <c r="T16" i="250"/>
  <c r="S14" i="250"/>
  <c r="R18" i="250"/>
  <c r="Q15" i="250"/>
  <c r="S16" i="258"/>
  <c r="R14" i="258"/>
  <c r="R17" i="258"/>
  <c r="Q18" i="258"/>
  <c r="Q27" i="258" a="1"/>
  <c r="Q27" i="258" s="1"/>
  <c r="S16" i="255"/>
  <c r="R17" i="255"/>
  <c r="R14" i="255"/>
  <c r="R18" i="253"/>
  <c r="S18" i="257"/>
  <c r="S17" i="253"/>
  <c r="T16" i="253"/>
  <c r="S14" i="253"/>
  <c r="U16" i="257"/>
  <c r="T17" i="257"/>
  <c r="T14" i="257"/>
  <c r="S15" i="257" s="1"/>
  <c r="Q18" i="252"/>
  <c r="S16" i="252"/>
  <c r="R17" i="252"/>
  <c r="R14" i="252"/>
  <c r="Q15" i="252" s="1"/>
  <c r="R18" i="254"/>
  <c r="Q15" i="254"/>
  <c r="Q18" i="256"/>
  <c r="P15" i="256"/>
  <c r="R17" i="256"/>
  <c r="S16" i="256"/>
  <c r="R14" i="256"/>
  <c r="S14" i="254"/>
  <c r="R15" i="254" s="1"/>
  <c r="S17" i="254"/>
  <c r="T16" i="254"/>
  <c r="P27" i="256" a="1"/>
  <c r="P27" i="256" s="1"/>
  <c r="O27" i="249" a="1"/>
  <c r="O27" i="249" s="1"/>
  <c r="Q18" i="251"/>
  <c r="P15" i="251"/>
  <c r="P18" i="249"/>
  <c r="P27" i="249" s="1" a="1"/>
  <c r="P27" i="249" s="1"/>
  <c r="Q27" i="254" a="1"/>
  <c r="Q27" i="254" s="1"/>
  <c r="P15" i="252"/>
  <c r="R15" i="257"/>
  <c r="S16" i="251"/>
  <c r="R17" i="251"/>
  <c r="R14" i="251"/>
  <c r="Q18" i="255"/>
  <c r="R16" i="249"/>
  <c r="Q17" i="249"/>
  <c r="Q14" i="249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0" i="139" s="1"/>
  <c r="B435" i="28"/>
  <c r="B419" i="28"/>
  <c r="B39" i="139" s="1"/>
  <c r="B403" i="28"/>
  <c r="C34" i="139" s="1"/>
  <c r="B387" i="28"/>
  <c r="B28" i="139" s="1"/>
  <c r="B371" i="28"/>
  <c r="G22" i="139" s="1"/>
  <c r="B355" i="28"/>
  <c r="B339" i="28"/>
  <c r="C11" i="139" s="1"/>
  <c r="B323" i="28"/>
  <c r="B306" i="28"/>
  <c r="B290" i="28"/>
  <c r="B274" i="28"/>
  <c r="B258" i="28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B257" i="28"/>
  <c r="B192" i="28"/>
  <c r="B144" i="28"/>
  <c r="B112" i="28"/>
  <c r="B80" i="28"/>
  <c r="B64" i="28"/>
  <c r="B32" i="28"/>
  <c r="B804" i="28"/>
  <c r="B440" i="28"/>
  <c r="B344" i="28"/>
  <c r="B182" i="28"/>
  <c r="AA9" i="138" s="1"/>
  <c r="B102" i="28"/>
  <c r="B629" i="28"/>
  <c r="B805" i="28"/>
  <c r="B504" i="28"/>
  <c r="B327" i="28"/>
  <c r="B181" i="28"/>
  <c r="B710" i="28"/>
  <c r="B535" i="28"/>
  <c r="B390" i="28"/>
  <c r="G28" i="139" s="1"/>
  <c r="B326" i="28"/>
  <c r="B212" i="28"/>
  <c r="B84" i="28"/>
  <c r="B615" i="28"/>
  <c r="B791" i="28"/>
  <c r="B421" i="28"/>
  <c r="B195" i="28"/>
  <c r="B664" i="28"/>
  <c r="B565" i="28"/>
  <c r="B404" i="28"/>
  <c r="B307" i="28"/>
  <c r="B178" i="28"/>
  <c r="Q9" i="138" s="1"/>
  <c r="B34" i="28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4" i="139" s="1"/>
  <c r="B450" i="28"/>
  <c r="V40" i="139" s="1"/>
  <c r="B434" i="28"/>
  <c r="B418" i="28"/>
  <c r="C38" i="139" s="1"/>
  <c r="B402" i="28"/>
  <c r="B386" i="28"/>
  <c r="B370" i="28"/>
  <c r="B354" i="28"/>
  <c r="B17" i="139" s="1"/>
  <c r="B338" i="28"/>
  <c r="B11" i="139" s="1"/>
  <c r="B322" i="28"/>
  <c r="B305" i="28"/>
  <c r="B289" i="28"/>
  <c r="B273" i="28"/>
  <c r="B241" i="28"/>
  <c r="B225" i="28"/>
  <c r="B208" i="28"/>
  <c r="B176" i="28"/>
  <c r="G9" i="138" s="1"/>
  <c r="B160" i="28"/>
  <c r="B128" i="28"/>
  <c r="B96" i="28"/>
  <c r="B48" i="28"/>
  <c r="B788" i="28"/>
  <c r="B408" i="28"/>
  <c r="B295" i="28"/>
  <c r="B150" i="28"/>
  <c r="B38" i="28"/>
  <c r="B645" i="28"/>
  <c r="B584" i="28"/>
  <c r="B455" i="28"/>
  <c r="B42" i="139" s="1"/>
  <c r="B278" i="28"/>
  <c r="B678" i="28"/>
  <c r="B551" i="28"/>
  <c r="B406" i="28"/>
  <c r="C35" i="139" s="1"/>
  <c r="B261" i="28"/>
  <c r="B116" i="28"/>
  <c r="B631" i="28"/>
  <c r="B807" i="28"/>
  <c r="B469" i="28"/>
  <c r="B260" i="28"/>
  <c r="B51" i="28"/>
  <c r="B776" i="28"/>
  <c r="B501" i="28"/>
  <c r="B372" i="28"/>
  <c r="B23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4" i="139" s="1"/>
  <c r="B449" i="28"/>
  <c r="P40" i="139" s="1"/>
  <c r="B433" i="28"/>
  <c r="B417" i="28"/>
  <c r="B38" i="139" s="1"/>
  <c r="B401" i="28"/>
  <c r="G33" i="139" s="1"/>
  <c r="B385" i="28"/>
  <c r="B369" i="28"/>
  <c r="B22" i="139" s="1"/>
  <c r="B353" i="28"/>
  <c r="B337" i="28"/>
  <c r="B321" i="28"/>
  <c r="B304" i="28"/>
  <c r="B288" i="28"/>
  <c r="B272" i="28"/>
  <c r="B256" i="28"/>
  <c r="B240" i="28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B123" i="28"/>
  <c r="B91" i="28"/>
  <c r="B27" i="28"/>
  <c r="B151" i="28"/>
  <c r="B55" i="28"/>
  <c r="B708" i="28"/>
  <c r="B279" i="28"/>
  <c r="B741" i="28"/>
  <c r="B391" i="28"/>
  <c r="B30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4" i="139" s="1"/>
  <c r="B448" i="28"/>
  <c r="J40" i="139" s="1"/>
  <c r="B432" i="28"/>
  <c r="B416" i="28"/>
  <c r="B400" i="28"/>
  <c r="C33" i="139" s="1"/>
  <c r="B384" i="28"/>
  <c r="G26" i="139" s="1"/>
  <c r="B368" i="28"/>
  <c r="G21" i="139" s="1"/>
  <c r="B352" i="28"/>
  <c r="B16" i="139" s="1"/>
  <c r="B336" i="28"/>
  <c r="C10" i="139" s="1"/>
  <c r="B319" i="28"/>
  <c r="B303" i="28"/>
  <c r="B287" i="28"/>
  <c r="B271" i="28"/>
  <c r="B255" i="28"/>
  <c r="B239" i="28"/>
  <c r="B223" i="28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B644" i="28"/>
  <c r="B772" i="28"/>
  <c r="B820" i="28"/>
  <c r="B537" i="28"/>
  <c r="B456" i="28"/>
  <c r="C42" i="139" s="1"/>
  <c r="B360" i="28"/>
  <c r="B19" i="139" s="1"/>
  <c r="B198" i="28"/>
  <c r="B54" i="28"/>
  <c r="B677" i="28"/>
  <c r="B600" i="28"/>
  <c r="B487" i="28"/>
  <c r="B343" i="28"/>
  <c r="B13" i="139" s="1"/>
  <c r="B213" i="28"/>
  <c r="B117" i="28"/>
  <c r="B646" i="28"/>
  <c r="B790" i="28"/>
  <c r="B519" i="28"/>
  <c r="B358" i="28"/>
  <c r="B196" i="28"/>
  <c r="B52" i="28"/>
  <c r="B695" i="28"/>
  <c r="B534" i="28"/>
  <c r="B405" i="28"/>
  <c r="B35" i="139" s="1"/>
  <c r="B292" i="28"/>
  <c r="B179" i="28"/>
  <c r="B99" i="28"/>
  <c r="B616" i="28"/>
  <c r="B792" i="28"/>
  <c r="B436" i="28"/>
  <c r="B291" i="28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0" i="139" s="1"/>
  <c r="B431" i="28"/>
  <c r="B415" i="28"/>
  <c r="C37" i="139" s="1"/>
  <c r="B399" i="28"/>
  <c r="B33" i="139" s="1"/>
  <c r="B383" i="28"/>
  <c r="B367" i="28"/>
  <c r="B351" i="28"/>
  <c r="G15" i="139" s="1"/>
  <c r="B335" i="28"/>
  <c r="B10" i="139" s="1"/>
  <c r="B318" i="28"/>
  <c r="B302" i="28"/>
  <c r="B286" i="28"/>
  <c r="B270" i="28"/>
  <c r="B254" i="28"/>
  <c r="B238" i="28"/>
  <c r="B222" i="28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B773" i="28"/>
  <c r="B375" i="28"/>
  <c r="B24" i="139" s="1"/>
  <c r="B85" i="28"/>
  <c r="B758" i="28"/>
  <c r="B470" i="28"/>
  <c r="B229" i="28"/>
  <c r="B775" i="28"/>
  <c r="B389" i="28"/>
  <c r="C28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0" i="139" s="1"/>
  <c r="B430" i="28"/>
  <c r="B414" i="28"/>
  <c r="B37" i="139" s="1"/>
  <c r="B398" i="28"/>
  <c r="B382" i="28"/>
  <c r="B26" i="139" s="1"/>
  <c r="B366" i="28"/>
  <c r="B21" i="139" s="1"/>
  <c r="B350" i="28"/>
  <c r="B334" i="28"/>
  <c r="C9" i="139" s="1"/>
  <c r="B317" i="28"/>
  <c r="B301" i="28"/>
  <c r="B285" i="28"/>
  <c r="B269" i="28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B43" i="28"/>
  <c r="B167" i="28"/>
  <c r="B676" i="28"/>
  <c r="B247" i="28"/>
  <c r="B757" i="28"/>
  <c r="B359" i="28"/>
  <c r="G18" i="139" s="1"/>
  <c r="B69" i="28"/>
  <c r="B742" i="28"/>
  <c r="B486" i="28"/>
  <c r="B164" i="28"/>
  <c r="B743" i="28"/>
  <c r="B566" i="28"/>
  <c r="B485" i="28"/>
  <c r="B373" i="28"/>
  <c r="B244" i="28"/>
  <c r="B83" i="28"/>
  <c r="B744" i="28"/>
  <c r="B533" i="28"/>
  <c r="B340" i="28"/>
  <c r="B12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5" i="139" s="1"/>
  <c r="B365" i="28"/>
  <c r="G20" i="139" s="1"/>
  <c r="B349" i="28"/>
  <c r="B15" i="139" s="1"/>
  <c r="B333" i="28"/>
  <c r="B9" i="139" s="1"/>
  <c r="B316" i="28"/>
  <c r="B300" i="28"/>
  <c r="B284" i="28"/>
  <c r="B268" i="28"/>
  <c r="B252" i="28"/>
  <c r="B236" i="28"/>
  <c r="B219" i="28"/>
  <c r="B203" i="28"/>
  <c r="B187" i="28"/>
  <c r="B139" i="28"/>
  <c r="B107" i="28"/>
  <c r="B75" i="28"/>
  <c r="B199" i="28"/>
  <c r="B724" i="28"/>
  <c r="B214" i="28"/>
  <c r="B725" i="28"/>
  <c r="B310" i="28"/>
  <c r="B726" i="28"/>
  <c r="B374" i="28"/>
  <c r="G23" i="139" s="1"/>
  <c r="B132" i="28"/>
  <c r="B727" i="28"/>
  <c r="B502" i="28"/>
  <c r="B276" i="28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V42" i="139" s="1"/>
  <c r="B444" i="28"/>
  <c r="B428" i="28"/>
  <c r="B412" i="28"/>
  <c r="B396" i="28"/>
  <c r="C30" i="139" s="1"/>
  <c r="B380" i="28"/>
  <c r="B364" i="28"/>
  <c r="B348" i="28"/>
  <c r="G14" i="139" s="1"/>
  <c r="B332" i="28"/>
  <c r="B315" i="28"/>
  <c r="B299" i="28"/>
  <c r="B283" i="28"/>
  <c r="B267" i="28"/>
  <c r="B251" i="28"/>
  <c r="B235" i="28"/>
  <c r="B218" i="28"/>
  <c r="B202" i="28"/>
  <c r="B186" i="28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B86" i="28"/>
  <c r="B661" i="28"/>
  <c r="B536" i="28"/>
  <c r="B407" i="28"/>
  <c r="G35" i="139" s="1"/>
  <c r="B230" i="28"/>
  <c r="B53" i="28"/>
  <c r="B694" i="28"/>
  <c r="B583" i="28"/>
  <c r="B438" i="28"/>
  <c r="B293" i="28"/>
  <c r="B148" i="28"/>
  <c r="B647" i="28"/>
  <c r="B598" i="28"/>
  <c r="B341" i="28"/>
  <c r="C12" i="139" s="1"/>
  <c r="B115" i="28"/>
  <c r="B680" i="28"/>
  <c r="B581" i="28"/>
  <c r="B420" i="28"/>
  <c r="C39" i="139" s="1"/>
  <c r="B259" i="28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48" i="139" s="1"/>
  <c r="B459" i="28"/>
  <c r="B443" i="28"/>
  <c r="B427" i="28"/>
  <c r="P27" i="139" s="1"/>
  <c r="B411" i="28"/>
  <c r="G36" i="139" s="1"/>
  <c r="B395" i="28"/>
  <c r="B379" i="28"/>
  <c r="B25" i="139" s="1"/>
  <c r="B363" i="28"/>
  <c r="B20" i="139" s="1"/>
  <c r="B347" i="28"/>
  <c r="B331" i="28"/>
  <c r="B314" i="28"/>
  <c r="B298" i="28"/>
  <c r="B282" i="28"/>
  <c r="B250" i="28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B311" i="28"/>
  <c r="B118" i="28"/>
  <c r="B613" i="28"/>
  <c r="B568" i="28"/>
  <c r="B439" i="28"/>
  <c r="B262" i="28"/>
  <c r="B165" i="28"/>
  <c r="G6" i="138" s="1"/>
  <c r="B37" i="28"/>
  <c r="B630" i="28"/>
  <c r="B806" i="28"/>
  <c r="B422" i="28"/>
  <c r="B277" i="28"/>
  <c r="B100" i="28"/>
  <c r="B663" i="28"/>
  <c r="B518" i="28"/>
  <c r="B357" i="28"/>
  <c r="B18" i="139" s="1"/>
  <c r="B211" i="28"/>
  <c r="B35" i="28"/>
  <c r="B760" i="28"/>
  <c r="B517" i="28"/>
  <c r="B388" i="28"/>
  <c r="B275" i="28"/>
  <c r="B162" i="28"/>
  <c r="G3" i="138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2" i="139" s="1"/>
  <c r="B442" i="28"/>
  <c r="B426" i="28"/>
  <c r="H27" i="139" s="1"/>
  <c r="B410" i="28"/>
  <c r="B394" i="28"/>
  <c r="B378" i="28"/>
  <c r="B362" i="28"/>
  <c r="G19" i="139" s="1"/>
  <c r="B346" i="28"/>
  <c r="B330" i="28"/>
  <c r="B313" i="28"/>
  <c r="B297" i="28"/>
  <c r="B281" i="28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B197" i="28"/>
  <c r="B614" i="28"/>
  <c r="B567" i="28"/>
  <c r="B342" i="28"/>
  <c r="B36" i="28"/>
  <c r="B759" i="28"/>
  <c r="B453" i="28"/>
  <c r="B228" i="28"/>
  <c r="B648" i="28"/>
  <c r="B597" i="28"/>
  <c r="B356" i="28"/>
  <c r="G17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2" i="139" s="1"/>
  <c r="B441" i="28"/>
  <c r="B425" i="28"/>
  <c r="B409" i="28"/>
  <c r="C36" i="139" s="1"/>
  <c r="B393" i="28"/>
  <c r="B377" i="28"/>
  <c r="G24" i="139" s="1"/>
  <c r="B361" i="28"/>
  <c r="B345" i="28"/>
  <c r="B14" i="139" s="1"/>
  <c r="B329" i="28"/>
  <c r="B312" i="28"/>
  <c r="B296" i="28"/>
  <c r="B280" i="28"/>
  <c r="B248" i="28"/>
  <c r="B232" i="28"/>
  <c r="B215" i="28"/>
  <c r="B103" i="28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B163" i="28"/>
  <c r="B632" i="28"/>
  <c r="B808" i="28"/>
  <c r="B452" i="28"/>
  <c r="B210" i="28"/>
  <c r="B50" i="28"/>
  <c r="V218" i="145"/>
  <c r="K95" i="145"/>
  <c r="L95" i="145"/>
  <c r="M95" i="145"/>
  <c r="R95" i="145"/>
  <c r="S95" i="145"/>
  <c r="T95" i="145"/>
  <c r="U95" i="145"/>
  <c r="N95" i="145"/>
  <c r="O95" i="145"/>
  <c r="P95" i="145"/>
  <c r="Q95" i="145"/>
  <c r="J15" i="139"/>
  <c r="Z15" i="139"/>
  <c r="P15" i="139"/>
  <c r="R15" i="139"/>
  <c r="N15" i="139"/>
  <c r="AB15" i="139"/>
  <c r="T15" i="139"/>
  <c r="L15" i="139"/>
  <c r="X15" i="139"/>
  <c r="AD15" i="139"/>
  <c r="V15" i="139"/>
  <c r="F10" i="144" a="1"/>
  <c r="Q19" i="251" l="1"/>
  <c r="S19" i="257"/>
  <c r="U16" i="248"/>
  <c r="T17" i="248"/>
  <c r="T14" i="248"/>
  <c r="R15" i="248"/>
  <c r="S18" i="248"/>
  <c r="S18" i="250"/>
  <c r="S27" i="250" s="1" a="1"/>
  <c r="S27" i="250" s="1"/>
  <c r="R15" i="250"/>
  <c r="T17" i="250"/>
  <c r="U16" i="250"/>
  <c r="T14" i="250"/>
  <c r="R19" i="254"/>
  <c r="S27" i="257" a="1"/>
  <c r="S27" i="257" s="1"/>
  <c r="Q15" i="258"/>
  <c r="R18" i="258"/>
  <c r="S17" i="258"/>
  <c r="T16" i="258"/>
  <c r="S14" i="258"/>
  <c r="P53" i="258"/>
  <c r="P53" i="257"/>
  <c r="P53" i="256"/>
  <c r="P53" i="254"/>
  <c r="P53" i="255"/>
  <c r="P53" i="253"/>
  <c r="P53" i="252"/>
  <c r="P53" i="251"/>
  <c r="P53" i="250"/>
  <c r="P53" i="248"/>
  <c r="P53" i="249"/>
  <c r="D17" i="258"/>
  <c r="D17" i="257"/>
  <c r="D17" i="256"/>
  <c r="D17" i="255"/>
  <c r="D17" i="254"/>
  <c r="D17" i="253"/>
  <c r="D17" i="252"/>
  <c r="D17" i="251"/>
  <c r="D17" i="249"/>
  <c r="D17" i="250"/>
  <c r="D17" i="248"/>
  <c r="D24" i="258"/>
  <c r="D24" i="257"/>
  <c r="D24" i="256"/>
  <c r="D24" i="255"/>
  <c r="D24" i="254"/>
  <c r="D24" i="253"/>
  <c r="D24" i="252"/>
  <c r="D24" i="251"/>
  <c r="D24" i="250"/>
  <c r="D24" i="249"/>
  <c r="D24" i="248"/>
  <c r="D38" i="258"/>
  <c r="D38" i="257"/>
  <c r="D38" i="256"/>
  <c r="D38" i="255"/>
  <c r="D38" i="254"/>
  <c r="D38" i="252"/>
  <c r="D38" i="253"/>
  <c r="D38" i="251"/>
  <c r="D38" i="250"/>
  <c r="D38" i="249"/>
  <c r="D38" i="248"/>
  <c r="D35" i="256"/>
  <c r="D35" i="258"/>
  <c r="D35" i="257"/>
  <c r="D35" i="255"/>
  <c r="D35" i="254"/>
  <c r="D35" i="253"/>
  <c r="D35" i="252"/>
  <c r="D35" i="251"/>
  <c r="D35" i="250"/>
  <c r="D35" i="249"/>
  <c r="D35" i="248"/>
  <c r="D18" i="257"/>
  <c r="D18" i="258"/>
  <c r="D18" i="255"/>
  <c r="D18" i="256"/>
  <c r="D18" i="254"/>
  <c r="D18" i="253"/>
  <c r="D18" i="252"/>
  <c r="D18" i="251"/>
  <c r="D18" i="249"/>
  <c r="D18" i="250"/>
  <c r="D18" i="248"/>
  <c r="D22" i="258"/>
  <c r="D22" i="256"/>
  <c r="D22" i="257"/>
  <c r="D22" i="254"/>
  <c r="D22" i="255"/>
  <c r="D22" i="253"/>
  <c r="D22" i="252"/>
  <c r="D22" i="251"/>
  <c r="D22" i="250"/>
  <c r="D22" i="248"/>
  <c r="D22" i="249"/>
  <c r="Y3" i="258"/>
  <c r="Y3" i="257"/>
  <c r="Y3" i="255"/>
  <c r="Y3" i="256"/>
  <c r="Y3" i="254"/>
  <c r="Y3" i="252"/>
  <c r="Y3" i="253"/>
  <c r="Y3" i="251"/>
  <c r="Y3" i="250"/>
  <c r="Y3" i="249"/>
  <c r="Y3" i="248"/>
  <c r="D23" i="258"/>
  <c r="D23" i="256"/>
  <c r="D23" i="255"/>
  <c r="D23" i="257"/>
  <c r="D23" i="254"/>
  <c r="D23" i="253"/>
  <c r="D23" i="252"/>
  <c r="D23" i="251"/>
  <c r="D23" i="250"/>
  <c r="D23" i="248"/>
  <c r="D23" i="249"/>
  <c r="R18" i="256"/>
  <c r="R19" i="256" s="1"/>
  <c r="D9" i="257"/>
  <c r="D9" i="258"/>
  <c r="D9" i="256"/>
  <c r="D9" i="255"/>
  <c r="D9" i="254"/>
  <c r="D9" i="253"/>
  <c r="D9" i="252"/>
  <c r="D9" i="251"/>
  <c r="D9" i="250"/>
  <c r="D9" i="249"/>
  <c r="D9" i="248"/>
  <c r="O3" i="257"/>
  <c r="O3" i="258"/>
  <c r="O3" i="256"/>
  <c r="O3" i="254"/>
  <c r="O3" i="253"/>
  <c r="O3" i="252"/>
  <c r="O3" i="251"/>
  <c r="O3" i="255"/>
  <c r="O3" i="250"/>
  <c r="O3" i="249"/>
  <c r="O3" i="248"/>
  <c r="Q18" i="249"/>
  <c r="Q27" i="249" s="1" a="1"/>
  <c r="Q27" i="249" s="1"/>
  <c r="P15" i="249"/>
  <c r="Q27" i="251" a="1"/>
  <c r="Q27" i="251" s="1"/>
  <c r="T16" i="256"/>
  <c r="S14" i="256"/>
  <c r="S17" i="256"/>
  <c r="S18" i="253"/>
  <c r="S27" i="253" s="1" a="1"/>
  <c r="S27" i="253" s="1"/>
  <c r="F53" i="258"/>
  <c r="F53" i="257"/>
  <c r="F53" i="256"/>
  <c r="F53" i="255"/>
  <c r="F53" i="254"/>
  <c r="F53" i="252"/>
  <c r="F53" i="253"/>
  <c r="F53" i="251"/>
  <c r="F53" i="249"/>
  <c r="F53" i="250"/>
  <c r="F53" i="248"/>
  <c r="D44" i="258"/>
  <c r="D44" i="256"/>
  <c r="D44" i="255"/>
  <c r="D44" i="257"/>
  <c r="D44" i="254"/>
  <c r="D44" i="253"/>
  <c r="D44" i="252"/>
  <c r="D44" i="249"/>
  <c r="D44" i="251"/>
  <c r="D44" i="250"/>
  <c r="D44" i="248"/>
  <c r="D51" i="257"/>
  <c r="D51" i="258"/>
  <c r="D51" i="255"/>
  <c r="D51" i="253"/>
  <c r="D51" i="254"/>
  <c r="D51" i="256"/>
  <c r="D51" i="252"/>
  <c r="D51" i="251"/>
  <c r="D51" i="250"/>
  <c r="D51" i="249"/>
  <c r="D51" i="248"/>
  <c r="P61" i="258"/>
  <c r="P61" i="257"/>
  <c r="P61" i="255"/>
  <c r="P61" i="256"/>
  <c r="P61" i="254"/>
  <c r="P61" i="253"/>
  <c r="P61" i="252"/>
  <c r="P61" i="251"/>
  <c r="P61" i="249"/>
  <c r="P61" i="250"/>
  <c r="P61" i="248"/>
  <c r="D61" i="256"/>
  <c r="D61" i="258"/>
  <c r="D61" i="257"/>
  <c r="D61" i="255"/>
  <c r="D61" i="254"/>
  <c r="D61" i="252"/>
  <c r="D61" i="251"/>
  <c r="D61" i="253"/>
  <c r="D61" i="250"/>
  <c r="D61" i="249"/>
  <c r="D61" i="248"/>
  <c r="T14" i="253"/>
  <c r="T17" i="253"/>
  <c r="U16" i="253"/>
  <c r="G19" i="250"/>
  <c r="G19" i="253"/>
  <c r="K19" i="250"/>
  <c r="F19" i="250"/>
  <c r="H19" i="248"/>
  <c r="F19" i="248"/>
  <c r="F19" i="251"/>
  <c r="F19" i="255"/>
  <c r="G19" i="256"/>
  <c r="G19" i="248"/>
  <c r="J19" i="250"/>
  <c r="F19" i="253"/>
  <c r="H19" i="250"/>
  <c r="F19" i="257"/>
  <c r="F19" i="254"/>
  <c r="G19" i="258"/>
  <c r="I19" i="250"/>
  <c r="F19" i="258"/>
  <c r="I19" i="248"/>
  <c r="L19" i="250"/>
  <c r="F19" i="252"/>
  <c r="H19" i="258"/>
  <c r="G19" i="251"/>
  <c r="G19" i="254"/>
  <c r="I19" i="258"/>
  <c r="G19" i="249"/>
  <c r="G19" i="257"/>
  <c r="H19" i="257"/>
  <c r="F19" i="256"/>
  <c r="J19" i="248"/>
  <c r="G19" i="255"/>
  <c r="H19" i="254"/>
  <c r="H19" i="255"/>
  <c r="H19" i="252"/>
  <c r="I19" i="257"/>
  <c r="H19" i="251"/>
  <c r="H19" i="256"/>
  <c r="J19" i="258"/>
  <c r="F19" i="249"/>
  <c r="M19" i="250"/>
  <c r="G19" i="252"/>
  <c r="H19" i="253"/>
  <c r="K19" i="248"/>
  <c r="J19" i="257"/>
  <c r="I19" i="253"/>
  <c r="I19" i="252"/>
  <c r="N19" i="250"/>
  <c r="O19" i="250"/>
  <c r="J19" i="254"/>
  <c r="J19" i="253"/>
  <c r="I19" i="254"/>
  <c r="L19" i="248"/>
  <c r="H19" i="249"/>
  <c r="J19" i="255"/>
  <c r="P19" i="250"/>
  <c r="M19" i="248"/>
  <c r="I19" i="251"/>
  <c r="I19" i="256"/>
  <c r="K19" i="257"/>
  <c r="K19" i="258"/>
  <c r="J19" i="256"/>
  <c r="I19" i="249"/>
  <c r="K19" i="253"/>
  <c r="I19" i="255"/>
  <c r="J19" i="251"/>
  <c r="L19" i="258"/>
  <c r="J19" i="252"/>
  <c r="K19" i="255"/>
  <c r="J19" i="249"/>
  <c r="K19" i="251"/>
  <c r="K19" i="256"/>
  <c r="L19" i="257"/>
  <c r="K19" i="254"/>
  <c r="L19" i="254"/>
  <c r="N19" i="258"/>
  <c r="N19" i="248"/>
  <c r="L19" i="253"/>
  <c r="O19" i="248"/>
  <c r="M19" i="258"/>
  <c r="Q19" i="250"/>
  <c r="L19" i="256"/>
  <c r="L19" i="251"/>
  <c r="K19" i="249"/>
  <c r="M19" i="254"/>
  <c r="M19" i="257"/>
  <c r="L19" i="255"/>
  <c r="K19" i="252"/>
  <c r="L19" i="252"/>
  <c r="M19" i="253"/>
  <c r="N19" i="257"/>
  <c r="N19" i="253"/>
  <c r="M19" i="251"/>
  <c r="S19" i="250"/>
  <c r="M19" i="252"/>
  <c r="N19" i="254"/>
  <c r="R19" i="250"/>
  <c r="O19" i="258"/>
  <c r="P19" i="248"/>
  <c r="O19" i="257"/>
  <c r="M19" i="256"/>
  <c r="L19" i="249"/>
  <c r="Q19" i="248"/>
  <c r="M19" i="249"/>
  <c r="M19" i="255"/>
  <c r="P19" i="258"/>
  <c r="Q19" i="258"/>
  <c r="O19" i="254"/>
  <c r="N19" i="251"/>
  <c r="N19" i="256"/>
  <c r="N19" i="252"/>
  <c r="R19" i="248"/>
  <c r="N19" i="255"/>
  <c r="O19" i="252"/>
  <c r="P19" i="257"/>
  <c r="P19" i="253"/>
  <c r="N19" i="249"/>
  <c r="O19" i="253"/>
  <c r="O19" i="255"/>
  <c r="O19" i="251"/>
  <c r="O19" i="249"/>
  <c r="S19" i="248"/>
  <c r="Q19" i="257"/>
  <c r="P19" i="254"/>
  <c r="P19" i="252"/>
  <c r="P19" i="255"/>
  <c r="R19" i="258"/>
  <c r="O19" i="256"/>
  <c r="D25" i="258"/>
  <c r="D25" i="257"/>
  <c r="D25" i="256"/>
  <c r="D25" i="255"/>
  <c r="D25" i="253"/>
  <c r="D25" i="254"/>
  <c r="D25" i="251"/>
  <c r="D25" i="252"/>
  <c r="D25" i="250"/>
  <c r="D25" i="249"/>
  <c r="D25" i="248"/>
  <c r="D34" i="258"/>
  <c r="D34" i="257"/>
  <c r="D34" i="256"/>
  <c r="D34" i="255"/>
  <c r="D34" i="254"/>
  <c r="D34" i="252"/>
  <c r="D34" i="253"/>
  <c r="D34" i="251"/>
  <c r="D34" i="249"/>
  <c r="D34" i="250"/>
  <c r="D34" i="248"/>
  <c r="D55" i="256"/>
  <c r="D55" i="258"/>
  <c r="D55" i="257"/>
  <c r="D55" i="254"/>
  <c r="D55" i="255"/>
  <c r="D55" i="253"/>
  <c r="D55" i="252"/>
  <c r="D55" i="250"/>
  <c r="D55" i="251"/>
  <c r="D55" i="248"/>
  <c r="D55" i="249"/>
  <c r="D12" i="258"/>
  <c r="H9" i="258" s="1"/>
  <c r="D12" i="256"/>
  <c r="H9" i="256" s="1"/>
  <c r="D12" i="254"/>
  <c r="H9" i="254" s="1"/>
  <c r="D12" i="253"/>
  <c r="H9" i="253" s="1"/>
  <c r="D12" i="252"/>
  <c r="H9" i="252" s="1"/>
  <c r="D12" i="251"/>
  <c r="H9" i="251" s="1"/>
  <c r="D12" i="248"/>
  <c r="H9" i="248" s="1"/>
  <c r="D12" i="249"/>
  <c r="H9" i="249" s="1"/>
  <c r="D12" i="255"/>
  <c r="H9" i="255" s="1"/>
  <c r="D12" i="250"/>
  <c r="H9" i="250" s="1"/>
  <c r="D12" i="257"/>
  <c r="H9" i="257" s="1"/>
  <c r="D26" i="257"/>
  <c r="D26" i="255"/>
  <c r="D26" i="258"/>
  <c r="D26" i="256"/>
  <c r="D26" i="254"/>
  <c r="D26" i="252"/>
  <c r="D26" i="253"/>
  <c r="D26" i="251"/>
  <c r="D26" i="250"/>
  <c r="D26" i="249"/>
  <c r="D26" i="248"/>
  <c r="S16" i="249"/>
  <c r="R17" i="249"/>
  <c r="R14" i="249"/>
  <c r="Q19" i="253"/>
  <c r="F8" i="258"/>
  <c r="F8" i="256"/>
  <c r="F8" i="257"/>
  <c r="F8" i="255"/>
  <c r="F8" i="254"/>
  <c r="F8" i="253"/>
  <c r="F8" i="252"/>
  <c r="F8" i="251"/>
  <c r="F8" i="250"/>
  <c r="F8" i="249"/>
  <c r="F8" i="248"/>
  <c r="AF61" i="258"/>
  <c r="AF61" i="257"/>
  <c r="AF61" i="256"/>
  <c r="AF61" i="255"/>
  <c r="AF61" i="252"/>
  <c r="AF61" i="251"/>
  <c r="AF61" i="253"/>
  <c r="AF61" i="254"/>
  <c r="AF61" i="250"/>
  <c r="AF61" i="249"/>
  <c r="AF61" i="248"/>
  <c r="D39" i="258"/>
  <c r="D39" i="256"/>
  <c r="D39" i="257"/>
  <c r="D39" i="255"/>
  <c r="D39" i="253"/>
  <c r="D39" i="252"/>
  <c r="D39" i="254"/>
  <c r="D39" i="250"/>
  <c r="D39" i="251"/>
  <c r="D39" i="248"/>
  <c r="D39" i="249"/>
  <c r="AG5" i="258"/>
  <c r="AG5" i="257"/>
  <c r="AG5" i="255"/>
  <c r="AG5" i="256"/>
  <c r="AG5" i="254"/>
  <c r="AG5" i="253"/>
  <c r="AG5" i="252"/>
  <c r="AG5" i="251"/>
  <c r="AG5" i="249"/>
  <c r="AG5" i="250"/>
  <c r="AG5" i="248"/>
  <c r="D32" i="257"/>
  <c r="D32" i="258"/>
  <c r="D32" i="256"/>
  <c r="D32" i="255"/>
  <c r="D32" i="254"/>
  <c r="D32" i="251"/>
  <c r="D32" i="253"/>
  <c r="D32" i="252"/>
  <c r="D32" i="249"/>
  <c r="D32" i="250"/>
  <c r="D32" i="248"/>
  <c r="D37" i="258"/>
  <c r="D37" i="257"/>
  <c r="D37" i="256"/>
  <c r="D37" i="255"/>
  <c r="D37" i="254"/>
  <c r="D37" i="253"/>
  <c r="D37" i="252"/>
  <c r="D37" i="250"/>
  <c r="D37" i="248"/>
  <c r="D37" i="249"/>
  <c r="D37" i="251"/>
  <c r="Y6" i="256"/>
  <c r="Y6" i="257"/>
  <c r="Y6" i="258"/>
  <c r="Y6" i="255"/>
  <c r="Y6" i="254"/>
  <c r="Y6" i="253"/>
  <c r="Y6" i="250"/>
  <c r="Y6" i="252"/>
  <c r="Y6" i="251"/>
  <c r="Y6" i="249"/>
  <c r="Y6" i="248"/>
  <c r="D31" i="256"/>
  <c r="D31" i="257"/>
  <c r="D31" i="254"/>
  <c r="D31" i="255"/>
  <c r="D31" i="251"/>
  <c r="D31" i="253"/>
  <c r="D31" i="252"/>
  <c r="D31" i="250"/>
  <c r="D31" i="248"/>
  <c r="D31" i="249"/>
  <c r="D53" i="258"/>
  <c r="D53" i="256"/>
  <c r="D53" i="254"/>
  <c r="D53" i="255"/>
  <c r="D53" i="257"/>
  <c r="D53" i="253"/>
  <c r="D53" i="252"/>
  <c r="D53" i="251"/>
  <c r="D53" i="250"/>
  <c r="D53" i="248"/>
  <c r="D53" i="249"/>
  <c r="D21" i="258"/>
  <c r="D21" i="257"/>
  <c r="D21" i="256"/>
  <c r="D21" i="254"/>
  <c r="D21" i="255"/>
  <c r="D21" i="253"/>
  <c r="D21" i="252"/>
  <c r="D21" i="251"/>
  <c r="D21" i="250"/>
  <c r="D21" i="248"/>
  <c r="D21" i="249"/>
  <c r="D49" i="258"/>
  <c r="D49" i="257"/>
  <c r="D49" i="256"/>
  <c r="D49" i="255"/>
  <c r="D49" i="254"/>
  <c r="D49" i="252"/>
  <c r="D49" i="251"/>
  <c r="D49" i="253"/>
  <c r="D49" i="249"/>
  <c r="D49" i="248"/>
  <c r="D49" i="250"/>
  <c r="D46" i="257"/>
  <c r="D46" i="258"/>
  <c r="D46" i="256"/>
  <c r="D46" i="255"/>
  <c r="D46" i="254"/>
  <c r="D46" i="253"/>
  <c r="D46" i="252"/>
  <c r="D46" i="250"/>
  <c r="D46" i="251"/>
  <c r="D46" i="249"/>
  <c r="D46" i="248"/>
  <c r="Q15" i="256"/>
  <c r="R19" i="253"/>
  <c r="F12" i="258"/>
  <c r="F12" i="257"/>
  <c r="F12" i="256"/>
  <c r="F12" i="255"/>
  <c r="F12" i="254"/>
  <c r="F12" i="253"/>
  <c r="F12" i="252"/>
  <c r="F12" i="251"/>
  <c r="F12" i="250"/>
  <c r="F12" i="249"/>
  <c r="F12" i="248"/>
  <c r="D29" i="257"/>
  <c r="D29" i="258"/>
  <c r="D29" i="256"/>
  <c r="D29" i="255"/>
  <c r="D29" i="254"/>
  <c r="D29" i="253"/>
  <c r="D29" i="251"/>
  <c r="D29" i="250"/>
  <c r="D29" i="249"/>
  <c r="D29" i="248"/>
  <c r="D29" i="252"/>
  <c r="T17" i="254"/>
  <c r="U16" i="254"/>
  <c r="T14" i="254"/>
  <c r="R15" i="253"/>
  <c r="R19" i="255"/>
  <c r="R18" i="255"/>
  <c r="AD53" i="258"/>
  <c r="AD53" i="256"/>
  <c r="AD53" i="255"/>
  <c r="AD53" i="257"/>
  <c r="AD53" i="254"/>
  <c r="AD53" i="253"/>
  <c r="AD53" i="252"/>
  <c r="AD53" i="249"/>
  <c r="AD53" i="250"/>
  <c r="AD53" i="251"/>
  <c r="AD53" i="248"/>
  <c r="O12" i="258"/>
  <c r="O12" i="256"/>
  <c r="O12" i="257"/>
  <c r="O12" i="255"/>
  <c r="O12" i="253"/>
  <c r="O12" i="254"/>
  <c r="O12" i="252"/>
  <c r="O12" i="250"/>
  <c r="O12" i="251"/>
  <c r="O12" i="249"/>
  <c r="O12" i="248"/>
  <c r="D27" i="258"/>
  <c r="D27" i="257"/>
  <c r="D27" i="256"/>
  <c r="D27" i="255"/>
  <c r="D27" i="253"/>
  <c r="D27" i="254"/>
  <c r="D27" i="252"/>
  <c r="D27" i="251"/>
  <c r="D27" i="250"/>
  <c r="D27" i="249"/>
  <c r="D27" i="248"/>
  <c r="Q19" i="255"/>
  <c r="S27" i="254" a="1"/>
  <c r="S27" i="254" s="1"/>
  <c r="S18" i="254"/>
  <c r="S19" i="254" s="1"/>
  <c r="Q19" i="252"/>
  <c r="T16" i="255"/>
  <c r="S17" i="255"/>
  <c r="S14" i="255"/>
  <c r="D45" i="258"/>
  <c r="D45" i="257"/>
  <c r="D45" i="255"/>
  <c r="D45" i="256"/>
  <c r="D45" i="254"/>
  <c r="D45" i="253"/>
  <c r="D45" i="252"/>
  <c r="D45" i="251"/>
  <c r="D45" i="250"/>
  <c r="D45" i="249"/>
  <c r="D45" i="248"/>
  <c r="Q27" i="255" a="1"/>
  <c r="Q27" i="255" s="1"/>
  <c r="Q15" i="249"/>
  <c r="Q27" i="252" a="1"/>
  <c r="Q27" i="252" s="1"/>
  <c r="Q15" i="255"/>
  <c r="D40" i="257"/>
  <c r="D40" i="258"/>
  <c r="D40" i="256"/>
  <c r="D40" i="255"/>
  <c r="D40" i="254"/>
  <c r="D40" i="253"/>
  <c r="D40" i="251"/>
  <c r="D40" i="252"/>
  <c r="D40" i="249"/>
  <c r="D40" i="250"/>
  <c r="D40" i="248"/>
  <c r="F3" i="258"/>
  <c r="F3" i="257"/>
  <c r="F3" i="256"/>
  <c r="F3" i="255"/>
  <c r="F3" i="253"/>
  <c r="F3" i="254"/>
  <c r="F3" i="251"/>
  <c r="F3" i="252"/>
  <c r="F3" i="250"/>
  <c r="F3" i="249"/>
  <c r="F3" i="248"/>
  <c r="Q19" i="256"/>
  <c r="R18" i="252"/>
  <c r="R19" i="252" s="1"/>
  <c r="Q19" i="254"/>
  <c r="D50" i="257"/>
  <c r="D50" i="256"/>
  <c r="D50" i="258"/>
  <c r="D50" i="255"/>
  <c r="D50" i="253"/>
  <c r="D50" i="254"/>
  <c r="D50" i="252"/>
  <c r="D50" i="251"/>
  <c r="D50" i="250"/>
  <c r="D50" i="249"/>
  <c r="D50" i="248"/>
  <c r="D20" i="258"/>
  <c r="D20" i="256"/>
  <c r="D20" i="257"/>
  <c r="D20" i="254"/>
  <c r="D20" i="255"/>
  <c r="D20" i="253"/>
  <c r="D20" i="252"/>
  <c r="D20" i="251"/>
  <c r="D20" i="248"/>
  <c r="D20" i="250"/>
  <c r="D20" i="249"/>
  <c r="G49" i="258"/>
  <c r="G49" i="257"/>
  <c r="G49" i="256"/>
  <c r="G49" i="255"/>
  <c r="G49" i="253"/>
  <c r="G49" i="254"/>
  <c r="G49" i="251"/>
  <c r="G49" i="252"/>
  <c r="G49" i="250"/>
  <c r="G49" i="249"/>
  <c r="G49" i="248"/>
  <c r="D2" i="258"/>
  <c r="D2" i="256"/>
  <c r="D2" i="257"/>
  <c r="D2" i="254"/>
  <c r="D2" i="255"/>
  <c r="D2" i="253"/>
  <c r="D2" i="252"/>
  <c r="D2" i="251"/>
  <c r="D2" i="250"/>
  <c r="D2" i="249"/>
  <c r="D2" i="248"/>
  <c r="D47" i="257"/>
  <c r="D47" i="258"/>
  <c r="D47" i="256"/>
  <c r="D47" i="255"/>
  <c r="D47" i="254"/>
  <c r="D47" i="253"/>
  <c r="D47" i="252"/>
  <c r="D47" i="251"/>
  <c r="D47" i="249"/>
  <c r="D47" i="250"/>
  <c r="D47" i="248"/>
  <c r="D10" i="258"/>
  <c r="D10" i="257"/>
  <c r="D10" i="256"/>
  <c r="D10" i="255"/>
  <c r="D10" i="254"/>
  <c r="D10" i="253"/>
  <c r="D10" i="251"/>
  <c r="D10" i="252"/>
  <c r="D10" i="249"/>
  <c r="D10" i="250"/>
  <c r="D10" i="248"/>
  <c r="R18" i="251"/>
  <c r="R19" i="251" s="1"/>
  <c r="Q15" i="251"/>
  <c r="P19" i="249"/>
  <c r="Q27" i="256" a="1"/>
  <c r="Q27" i="256" s="1"/>
  <c r="R19" i="257"/>
  <c r="D42" i="257"/>
  <c r="D42" i="258"/>
  <c r="D42" i="255"/>
  <c r="D42" i="256"/>
  <c r="D42" i="253"/>
  <c r="D42" i="254"/>
  <c r="D42" i="252"/>
  <c r="D42" i="251"/>
  <c r="D42" i="250"/>
  <c r="D42" i="249"/>
  <c r="D42" i="248"/>
  <c r="D59" i="258"/>
  <c r="D59" i="257"/>
  <c r="D59" i="256"/>
  <c r="D59" i="255"/>
  <c r="D59" i="254"/>
  <c r="D59" i="253"/>
  <c r="D59" i="252"/>
  <c r="D59" i="251"/>
  <c r="D59" i="250"/>
  <c r="D59" i="249"/>
  <c r="D59" i="248"/>
  <c r="D36" i="257"/>
  <c r="D36" i="258"/>
  <c r="D36" i="255"/>
  <c r="D36" i="256"/>
  <c r="D36" i="253"/>
  <c r="D36" i="254"/>
  <c r="D36" i="252"/>
  <c r="D36" i="251"/>
  <c r="D36" i="250"/>
  <c r="D36" i="249"/>
  <c r="D36" i="248"/>
  <c r="P12" i="258"/>
  <c r="P12" i="257"/>
  <c r="P12" i="255"/>
  <c r="P12" i="256"/>
  <c r="P12" i="254"/>
  <c r="P12" i="253"/>
  <c r="P12" i="252"/>
  <c r="P12" i="251"/>
  <c r="P12" i="249"/>
  <c r="P12" i="250"/>
  <c r="P12" i="248"/>
  <c r="T16" i="252"/>
  <c r="S17" i="252"/>
  <c r="S14" i="252"/>
  <c r="T18" i="257"/>
  <c r="T19" i="257" s="1"/>
  <c r="P19" i="251"/>
  <c r="D41" i="256"/>
  <c r="D41" i="258"/>
  <c r="D41" i="257"/>
  <c r="D41" i="254"/>
  <c r="D41" i="255"/>
  <c r="D41" i="253"/>
  <c r="D41" i="252"/>
  <c r="D41" i="251"/>
  <c r="D41" i="250"/>
  <c r="D41" i="248"/>
  <c r="D41" i="249"/>
  <c r="D30" i="258"/>
  <c r="D30" i="257"/>
  <c r="D30" i="256"/>
  <c r="D30" i="254"/>
  <c r="D30" i="255"/>
  <c r="D30" i="253"/>
  <c r="D30" i="251"/>
  <c r="D30" i="252"/>
  <c r="D30" i="250"/>
  <c r="D30" i="249"/>
  <c r="D30" i="248"/>
  <c r="D28" i="257"/>
  <c r="D28" i="256"/>
  <c r="D28" i="255"/>
  <c r="D28" i="258"/>
  <c r="D28" i="254"/>
  <c r="D28" i="252"/>
  <c r="D28" i="253"/>
  <c r="D28" i="251"/>
  <c r="D28" i="250"/>
  <c r="D28" i="249"/>
  <c r="D28" i="248"/>
  <c r="D33" i="258"/>
  <c r="D33" i="256"/>
  <c r="D33" i="257"/>
  <c r="D33" i="254"/>
  <c r="D33" i="255"/>
  <c r="D33" i="253"/>
  <c r="D33" i="252"/>
  <c r="D33" i="251"/>
  <c r="D33" i="250"/>
  <c r="D33" i="249"/>
  <c r="D33" i="248"/>
  <c r="S17" i="251"/>
  <c r="S14" i="251"/>
  <c r="T16" i="251"/>
  <c r="D43" i="258"/>
  <c r="D43" i="256"/>
  <c r="D43" i="257"/>
  <c r="D43" i="254"/>
  <c r="D43" i="255"/>
  <c r="D43" i="253"/>
  <c r="D43" i="252"/>
  <c r="D43" i="251"/>
  <c r="D43" i="250"/>
  <c r="D43" i="249"/>
  <c r="D43" i="248"/>
  <c r="D8" i="257"/>
  <c r="D8" i="258"/>
  <c r="D8" i="255"/>
  <c r="D8" i="256"/>
  <c r="D8" i="254"/>
  <c r="D8" i="253"/>
  <c r="D8" i="252"/>
  <c r="D8" i="251"/>
  <c r="D8" i="249"/>
  <c r="D8" i="250"/>
  <c r="D8" i="248"/>
  <c r="D48" i="256"/>
  <c r="D48" i="258"/>
  <c r="D48" i="257"/>
  <c r="D48" i="254"/>
  <c r="D48" i="255"/>
  <c r="D48" i="253"/>
  <c r="D48" i="251"/>
  <c r="D48" i="252"/>
  <c r="D48" i="250"/>
  <c r="D48" i="248"/>
  <c r="D48" i="249"/>
  <c r="V16" i="257"/>
  <c r="U17" i="257"/>
  <c r="U14" i="257"/>
  <c r="P19" i="256"/>
  <c r="Z28" i="139"/>
  <c r="D45" i="135"/>
  <c r="F10" i="144"/>
  <c r="F11" i="144"/>
  <c r="F9" i="144"/>
  <c r="B4" i="139"/>
  <c r="T10" i="139"/>
  <c r="P10" i="139"/>
  <c r="R10" i="139"/>
  <c r="V10" i="139"/>
  <c r="AD10" i="139"/>
  <c r="AB10" i="139"/>
  <c r="Z10" i="139"/>
  <c r="N10" i="139"/>
  <c r="J10" i="139"/>
  <c r="L10" i="139"/>
  <c r="X10" i="139"/>
  <c r="S15" i="248" l="1"/>
  <c r="T18" i="248"/>
  <c r="V16" i="248"/>
  <c r="U14" i="248"/>
  <c r="U17" i="248"/>
  <c r="T18" i="250"/>
  <c r="T19" i="250" s="1"/>
  <c r="T27" i="250" a="1"/>
  <c r="T27" i="250" s="1"/>
  <c r="S15" i="250"/>
  <c r="V16" i="250"/>
  <c r="U14" i="250"/>
  <c r="U17" i="250"/>
  <c r="T15" i="250"/>
  <c r="T27" i="257" a="1"/>
  <c r="T27" i="257" s="1"/>
  <c r="S18" i="258"/>
  <c r="S19" i="258" s="1"/>
  <c r="R15" i="258"/>
  <c r="T17" i="258"/>
  <c r="T14" i="258"/>
  <c r="U16" i="258"/>
  <c r="S18" i="256"/>
  <c r="R15" i="256"/>
  <c r="T17" i="251"/>
  <c r="T14" i="251"/>
  <c r="U16" i="251"/>
  <c r="T16" i="249"/>
  <c r="S17" i="249"/>
  <c r="S14" i="249"/>
  <c r="T17" i="256"/>
  <c r="U16" i="256"/>
  <c r="T14" i="256"/>
  <c r="S15" i="256" s="1"/>
  <c r="S18" i="251"/>
  <c r="S19" i="251"/>
  <c r="R15" i="251"/>
  <c r="S18" i="252"/>
  <c r="S19" i="252"/>
  <c r="R15" i="252"/>
  <c r="S18" i="255"/>
  <c r="R15" i="255"/>
  <c r="T17" i="252"/>
  <c r="U16" i="252"/>
  <c r="T14" i="252"/>
  <c r="S15" i="253"/>
  <c r="U16" i="255"/>
  <c r="T17" i="255"/>
  <c r="T14" i="255"/>
  <c r="U18" i="257"/>
  <c r="T15" i="257"/>
  <c r="S19" i="253"/>
  <c r="T18" i="254"/>
  <c r="U14" i="253"/>
  <c r="V16" i="253"/>
  <c r="U17" i="253"/>
  <c r="W16" i="257"/>
  <c r="V17" i="257"/>
  <c r="V14" i="257"/>
  <c r="U17" i="254"/>
  <c r="V16" i="254"/>
  <c r="U14" i="254"/>
  <c r="T18" i="253"/>
  <c r="T27" i="253" s="1" a="1"/>
  <c r="T27" i="253" s="1"/>
  <c r="S15" i="254"/>
  <c r="Q19" i="249"/>
  <c r="R18" i="249"/>
  <c r="R19" i="249" s="1"/>
  <c r="K21" i="144"/>
  <c r="L21" i="144" s="1" a="1"/>
  <c r="L21" i="144" s="1"/>
  <c r="K20" i="144"/>
  <c r="L20" i="144" s="1" a="1"/>
  <c r="L20" i="144" s="1"/>
  <c r="K23" i="144"/>
  <c r="M10" i="144"/>
  <c r="U18" i="248" l="1"/>
  <c r="U27" i="248" s="1" a="1"/>
  <c r="U27" i="248" s="1"/>
  <c r="T15" i="248"/>
  <c r="W16" i="248"/>
  <c r="V17" i="248"/>
  <c r="V14" i="248"/>
  <c r="T27" i="248" a="1"/>
  <c r="T27" i="248" s="1"/>
  <c r="T19" i="248"/>
  <c r="W16" i="250"/>
  <c r="V14" i="250"/>
  <c r="V17" i="250"/>
  <c r="U18" i="250"/>
  <c r="U27" i="250" s="1" a="1"/>
  <c r="U27" i="250" s="1"/>
  <c r="T19" i="254"/>
  <c r="U14" i="258"/>
  <c r="T15" i="258" s="1"/>
  <c r="V16" i="258"/>
  <c r="U17" i="258"/>
  <c r="T18" i="258"/>
  <c r="T27" i="258" s="1" a="1"/>
  <c r="T27" i="258" s="1"/>
  <c r="S15" i="258"/>
  <c r="T19" i="258"/>
  <c r="S27" i="258" a="1"/>
  <c r="S27" i="258" s="1"/>
  <c r="X16" i="257"/>
  <c r="W17" i="257"/>
  <c r="W14" i="257"/>
  <c r="U19" i="257"/>
  <c r="W16" i="253"/>
  <c r="V17" i="253"/>
  <c r="V14" i="253"/>
  <c r="T18" i="252"/>
  <c r="T19" i="252" s="1"/>
  <c r="T19" i="253"/>
  <c r="U18" i="253"/>
  <c r="U27" i="253" s="1" a="1"/>
  <c r="U27" i="253" s="1"/>
  <c r="V16" i="252"/>
  <c r="U17" i="252"/>
  <c r="U14" i="252"/>
  <c r="T15" i="252" s="1"/>
  <c r="S19" i="256"/>
  <c r="S15" i="252"/>
  <c r="S27" i="256" a="1"/>
  <c r="S27" i="256" s="1"/>
  <c r="T18" i="256"/>
  <c r="T19" i="256" s="1"/>
  <c r="V16" i="256"/>
  <c r="U14" i="256"/>
  <c r="U17" i="256"/>
  <c r="T18" i="255"/>
  <c r="T19" i="255" s="1"/>
  <c r="T27" i="255" a="1"/>
  <c r="T27" i="255" s="1"/>
  <c r="S19" i="255"/>
  <c r="S18" i="249"/>
  <c r="S27" i="249" a="1"/>
  <c r="S27" i="249" s="1"/>
  <c r="S15" i="255"/>
  <c r="U18" i="254"/>
  <c r="U27" i="254" s="1" a="1"/>
  <c r="U27" i="254" s="1"/>
  <c r="T15" i="254"/>
  <c r="V16" i="255"/>
  <c r="U17" i="255"/>
  <c r="U14" i="255"/>
  <c r="S27" i="255" a="1"/>
  <c r="S27" i="255" s="1"/>
  <c r="S27" i="252" a="1"/>
  <c r="S27" i="252" s="1"/>
  <c r="R15" i="249"/>
  <c r="W16" i="254"/>
  <c r="V14" i="254"/>
  <c r="V17" i="254"/>
  <c r="U16" i="249"/>
  <c r="T17" i="249"/>
  <c r="T14" i="249"/>
  <c r="U17" i="251"/>
  <c r="U14" i="251"/>
  <c r="V16" i="251"/>
  <c r="T15" i="253"/>
  <c r="V18" i="257"/>
  <c r="U15" i="257"/>
  <c r="T18" i="251"/>
  <c r="T27" i="251" s="1" a="1"/>
  <c r="T27" i="251" s="1"/>
  <c r="S15" i="251"/>
  <c r="M20" i="144"/>
  <c r="M21" i="144"/>
  <c r="U19" i="250" l="1"/>
  <c r="W14" i="248"/>
  <c r="W17" i="248"/>
  <c r="X16" i="248"/>
  <c r="U19" i="248"/>
  <c r="V18" i="248"/>
  <c r="V19" i="248" s="1"/>
  <c r="V27" i="248" a="1"/>
  <c r="V27" i="248" s="1"/>
  <c r="U15" i="248"/>
  <c r="V15" i="248"/>
  <c r="V18" i="250"/>
  <c r="V27" i="250" s="1" a="1"/>
  <c r="V27" i="250" s="1"/>
  <c r="V19" i="250"/>
  <c r="X16" i="250"/>
  <c r="W17" i="250"/>
  <c r="W14" i="250"/>
  <c r="U15" i="250"/>
  <c r="T27" i="252" a="1"/>
  <c r="T27" i="252" s="1"/>
  <c r="V17" i="258"/>
  <c r="V14" i="258"/>
  <c r="W16" i="258"/>
  <c r="U18" i="258"/>
  <c r="U19" i="258" s="1"/>
  <c r="U27" i="258" a="1"/>
  <c r="U27" i="258" s="1"/>
  <c r="V18" i="254"/>
  <c r="V27" i="254" s="1" a="1"/>
  <c r="V27" i="254" s="1"/>
  <c r="U15" i="254"/>
  <c r="W17" i="254"/>
  <c r="X16" i="254"/>
  <c r="W14" i="254"/>
  <c r="V15" i="254" s="1"/>
  <c r="U18" i="256"/>
  <c r="T15" i="256"/>
  <c r="V18" i="253"/>
  <c r="V19" i="253" s="1"/>
  <c r="V17" i="256"/>
  <c r="W16" i="256"/>
  <c r="V14" i="256"/>
  <c r="U18" i="252"/>
  <c r="V27" i="257" a="1"/>
  <c r="V27" i="257" s="1"/>
  <c r="W17" i="253"/>
  <c r="X16" i="253"/>
  <c r="W14" i="253"/>
  <c r="V19" i="257"/>
  <c r="V17" i="252"/>
  <c r="W16" i="252"/>
  <c r="V14" i="252"/>
  <c r="U15" i="252" s="1"/>
  <c r="V14" i="251"/>
  <c r="W16" i="251"/>
  <c r="V17" i="251"/>
  <c r="U18" i="255"/>
  <c r="U19" i="255" s="1"/>
  <c r="T15" i="255"/>
  <c r="U18" i="251"/>
  <c r="U27" i="251" s="1" a="1"/>
  <c r="U27" i="251" s="1"/>
  <c r="T15" i="251"/>
  <c r="S19" i="249"/>
  <c r="W16" i="255"/>
  <c r="V17" i="255"/>
  <c r="V14" i="255"/>
  <c r="U15" i="255" s="1"/>
  <c r="U19" i="253"/>
  <c r="W18" i="257"/>
  <c r="W19" i="257" s="1"/>
  <c r="V15" i="257"/>
  <c r="V15" i="253"/>
  <c r="Y16" i="257"/>
  <c r="X17" i="257"/>
  <c r="X14" i="257"/>
  <c r="T18" i="249"/>
  <c r="T27" i="249" a="1"/>
  <c r="T27" i="249" s="1"/>
  <c r="S15" i="249"/>
  <c r="U15" i="253"/>
  <c r="T19" i="251"/>
  <c r="V16" i="249"/>
  <c r="U17" i="249"/>
  <c r="U14" i="249"/>
  <c r="U15" i="256"/>
  <c r="U19" i="254"/>
  <c r="T27" i="256" a="1"/>
  <c r="T27" i="256" s="1"/>
  <c r="M22" i="144"/>
  <c r="V19" i="254" l="1"/>
  <c r="X14" i="248"/>
  <c r="Y16" i="248"/>
  <c r="X17" i="248"/>
  <c r="W18" i="248"/>
  <c r="W27" i="248" s="1" a="1"/>
  <c r="W27" i="248" s="1"/>
  <c r="X17" i="250"/>
  <c r="Y16" i="250"/>
  <c r="X14" i="250"/>
  <c r="W18" i="250"/>
  <c r="W19" i="250" s="1"/>
  <c r="V15" i="250"/>
  <c r="W15" i="250"/>
  <c r="W27" i="257" a="1"/>
  <c r="W27" i="257" s="1"/>
  <c r="W14" i="258"/>
  <c r="W17" i="258"/>
  <c r="X16" i="258"/>
  <c r="U15" i="258"/>
  <c r="V18" i="258"/>
  <c r="V19" i="258" s="1"/>
  <c r="V18" i="255"/>
  <c r="V19" i="255"/>
  <c r="X16" i="255"/>
  <c r="W17" i="255"/>
  <c r="W14" i="255"/>
  <c r="U19" i="252"/>
  <c r="U27" i="256" a="1"/>
  <c r="U27" i="256" s="1"/>
  <c r="U19" i="256"/>
  <c r="U27" i="252" a="1"/>
  <c r="U27" i="252" s="1"/>
  <c r="W18" i="254"/>
  <c r="W19" i="254" s="1"/>
  <c r="V18" i="256"/>
  <c r="V27" i="256" s="1" a="1"/>
  <c r="V27" i="256" s="1"/>
  <c r="V19" i="256"/>
  <c r="Y16" i="254"/>
  <c r="X17" i="254"/>
  <c r="X14" i="254"/>
  <c r="W15" i="254" s="1"/>
  <c r="T19" i="249"/>
  <c r="V18" i="252"/>
  <c r="X16" i="256"/>
  <c r="W14" i="256"/>
  <c r="W17" i="256"/>
  <c r="W17" i="252"/>
  <c r="X16" i="252"/>
  <c r="W14" i="252"/>
  <c r="X18" i="257"/>
  <c r="X19" i="257" s="1"/>
  <c r="W15" i="257"/>
  <c r="U27" i="255" a="1"/>
  <c r="U27" i="255" s="1"/>
  <c r="U18" i="249"/>
  <c r="Y17" i="257"/>
  <c r="Z16" i="257"/>
  <c r="Y14" i="257"/>
  <c r="X15" i="257" s="1"/>
  <c r="W14" i="251"/>
  <c r="V15" i="251" s="1"/>
  <c r="X16" i="251"/>
  <c r="W17" i="251"/>
  <c r="W16" i="249"/>
  <c r="V17" i="249"/>
  <c r="V14" i="249"/>
  <c r="V18" i="251"/>
  <c r="V19" i="251" s="1"/>
  <c r="U15" i="251"/>
  <c r="W18" i="253"/>
  <c r="U19" i="251"/>
  <c r="X14" i="253"/>
  <c r="X17" i="253"/>
  <c r="Y16" i="253"/>
  <c r="V27" i="253" a="1"/>
  <c r="V27" i="253" s="1"/>
  <c r="T15" i="249"/>
  <c r="V15" i="256"/>
  <c r="W19" i="248" l="1"/>
  <c r="Z16" i="248"/>
  <c r="Y14" i="248"/>
  <c r="Y17" i="248"/>
  <c r="X18" i="248"/>
  <c r="W15" i="248"/>
  <c r="X27" i="248" a="1"/>
  <c r="X27" i="248" s="1"/>
  <c r="X15" i="248"/>
  <c r="X19" i="248"/>
  <c r="U19" i="249"/>
  <c r="W27" i="250" a="1"/>
  <c r="W27" i="250" s="1"/>
  <c r="X18" i="250"/>
  <c r="X19" i="250" s="1"/>
  <c r="Z16" i="250"/>
  <c r="Y17" i="250"/>
  <c r="Y14" i="250"/>
  <c r="V19" i="252"/>
  <c r="W27" i="254" a="1"/>
  <c r="W27" i="254" s="1"/>
  <c r="X17" i="258"/>
  <c r="Y16" i="258"/>
  <c r="X14" i="258"/>
  <c r="W18" i="258"/>
  <c r="V15" i="258"/>
  <c r="AA16" i="257"/>
  <c r="Z17" i="257"/>
  <c r="Z14" i="257"/>
  <c r="Y15" i="257" s="1"/>
  <c r="Z16" i="254"/>
  <c r="Y14" i="254"/>
  <c r="Y17" i="254"/>
  <c r="V27" i="251" a="1"/>
  <c r="V27" i="251" s="1"/>
  <c r="W18" i="256"/>
  <c r="W19" i="256" s="1"/>
  <c r="Z16" i="253"/>
  <c r="Y14" i="253"/>
  <c r="Y17" i="253"/>
  <c r="X17" i="256"/>
  <c r="Y16" i="256"/>
  <c r="X14" i="256"/>
  <c r="W15" i="256" s="1"/>
  <c r="X18" i="253"/>
  <c r="X27" i="253" a="1"/>
  <c r="X27" i="253" s="1"/>
  <c r="X19" i="253"/>
  <c r="V18" i="249"/>
  <c r="V19" i="249" s="1"/>
  <c r="W15" i="253"/>
  <c r="X16" i="249"/>
  <c r="W17" i="249"/>
  <c r="W14" i="249"/>
  <c r="V27" i="255" a="1"/>
  <c r="V27" i="255" s="1"/>
  <c r="W18" i="255"/>
  <c r="V15" i="255"/>
  <c r="X14" i="251"/>
  <c r="Y16" i="251"/>
  <c r="X17" i="251"/>
  <c r="X27" i="257" a="1"/>
  <c r="X27" i="257" s="1"/>
  <c r="Y16" i="255"/>
  <c r="X17" i="255"/>
  <c r="X14" i="255"/>
  <c r="U15" i="249"/>
  <c r="W27" i="253" a="1"/>
  <c r="W27" i="253" s="1"/>
  <c r="W18" i="251"/>
  <c r="W19" i="251" s="1"/>
  <c r="W18" i="252"/>
  <c r="W19" i="252" s="1"/>
  <c r="X18" i="254"/>
  <c r="X27" i="254" s="1" a="1"/>
  <c r="X27" i="254" s="1"/>
  <c r="W19" i="253"/>
  <c r="Y18" i="257"/>
  <c r="X17" i="252"/>
  <c r="Y16" i="252"/>
  <c r="X14" i="252"/>
  <c r="V15" i="252"/>
  <c r="V27" i="249" l="1" a="1"/>
  <c r="V27" i="249" s="1"/>
  <c r="Y18" i="248"/>
  <c r="Y19" i="248" s="1"/>
  <c r="Z14" i="248"/>
  <c r="Z18" i="248" s="1"/>
  <c r="Z19" i="248" s="1"/>
  <c r="Z17" i="248"/>
  <c r="AA16" i="248"/>
  <c r="Z14" i="250"/>
  <c r="Z17" i="250"/>
  <c r="AA16" i="250"/>
  <c r="Y18" i="250"/>
  <c r="Y19" i="250" s="1"/>
  <c r="X15" i="250"/>
  <c r="W27" i="258" a="1"/>
  <c r="W27" i="258" s="1"/>
  <c r="W19" i="258"/>
  <c r="W15" i="258"/>
  <c r="X18" i="258"/>
  <c r="X27" i="258" s="1" a="1"/>
  <c r="X27" i="258" s="1"/>
  <c r="Z16" i="258"/>
  <c r="Y17" i="258"/>
  <c r="Y14" i="258"/>
  <c r="X15" i="258" s="1"/>
  <c r="Y14" i="251"/>
  <c r="Z16" i="251"/>
  <c r="Y17" i="251"/>
  <c r="Y19" i="257"/>
  <c r="X18" i="251"/>
  <c r="X19" i="251" s="1"/>
  <c r="W15" i="251"/>
  <c r="W27" i="252" a="1"/>
  <c r="W27" i="252" s="1"/>
  <c r="Y18" i="253"/>
  <c r="Y19" i="253" s="1"/>
  <c r="X15" i="253"/>
  <c r="Z14" i="253"/>
  <c r="Z17" i="253"/>
  <c r="AA16" i="253"/>
  <c r="W19" i="255"/>
  <c r="W27" i="251" a="1"/>
  <c r="W27" i="251" s="1"/>
  <c r="Y18" i="254"/>
  <c r="Y19" i="254" s="1"/>
  <c r="X15" i="254"/>
  <c r="Z17" i="254"/>
  <c r="AA16" i="254"/>
  <c r="Z14" i="254"/>
  <c r="Z18" i="257"/>
  <c r="Z27" i="257" s="1" a="1"/>
  <c r="Z27" i="257" s="1"/>
  <c r="X19" i="254"/>
  <c r="X18" i="255"/>
  <c r="X27" i="255" s="1" a="1"/>
  <c r="X27" i="255" s="1"/>
  <c r="AA17" i="257"/>
  <c r="AB16" i="257"/>
  <c r="AA14" i="257"/>
  <c r="W18" i="249"/>
  <c r="X18" i="252"/>
  <c r="X27" i="252" s="1" a="1"/>
  <c r="X27" i="252" s="1"/>
  <c r="W15" i="252"/>
  <c r="Y17" i="255"/>
  <c r="Z16" i="255"/>
  <c r="Y14" i="255"/>
  <c r="X18" i="256"/>
  <c r="X27" i="256" s="1" a="1"/>
  <c r="X27" i="256" s="1"/>
  <c r="W15" i="255"/>
  <c r="Z16" i="252"/>
  <c r="Y17" i="252"/>
  <c r="Y14" i="252"/>
  <c r="X15" i="252" s="1"/>
  <c r="Y16" i="249"/>
  <c r="X17" i="249"/>
  <c r="X14" i="249"/>
  <c r="Z16" i="256"/>
  <c r="Y14" i="256"/>
  <c r="Y17" i="256"/>
  <c r="W27" i="256" a="1"/>
  <c r="W27" i="256" s="1"/>
  <c r="V15" i="249"/>
  <c r="X19" i="258" l="1"/>
  <c r="X19" i="252"/>
  <c r="AA14" i="248"/>
  <c r="AB16" i="248"/>
  <c r="AA17" i="248"/>
  <c r="Y15" i="248"/>
  <c r="AA17" i="250"/>
  <c r="AA14" i="250"/>
  <c r="AB16" i="250"/>
  <c r="Z18" i="250"/>
  <c r="Z19" i="250" s="1"/>
  <c r="Z27" i="250" a="1"/>
  <c r="Z27" i="250" s="1"/>
  <c r="Y15" i="250"/>
  <c r="X19" i="255"/>
  <c r="Z19" i="257"/>
  <c r="Y18" i="258"/>
  <c r="Y19" i="258" s="1"/>
  <c r="Z14" i="258"/>
  <c r="AA16" i="258"/>
  <c r="Z17" i="258"/>
  <c r="X15" i="256"/>
  <c r="X19" i="256"/>
  <c r="X27" i="251" a="1"/>
  <c r="X27" i="251" s="1"/>
  <c r="W19" i="249"/>
  <c r="AB16" i="253"/>
  <c r="AA14" i="253"/>
  <c r="AA17" i="253"/>
  <c r="Y18" i="256"/>
  <c r="Z17" i="256"/>
  <c r="AA16" i="256"/>
  <c r="Z14" i="256"/>
  <c r="Y18" i="255"/>
  <c r="Y19" i="255" s="1"/>
  <c r="Z18" i="253"/>
  <c r="Z19" i="253" s="1"/>
  <c r="Y15" i="253"/>
  <c r="Z17" i="255"/>
  <c r="AA16" i="255"/>
  <c r="Z14" i="255"/>
  <c r="Y15" i="255" s="1"/>
  <c r="W27" i="249" a="1"/>
  <c r="W27" i="249" s="1"/>
  <c r="X18" i="249"/>
  <c r="X27" i="249" s="1" a="1"/>
  <c r="X27" i="249" s="1"/>
  <c r="W15" i="249"/>
  <c r="AA18" i="257"/>
  <c r="Z15" i="257"/>
  <c r="AC16" i="257"/>
  <c r="AB17" i="257"/>
  <c r="AB14" i="257"/>
  <c r="Y17" i="249"/>
  <c r="Z16" i="249"/>
  <c r="Y14" i="249"/>
  <c r="Z18" i="254"/>
  <c r="Z19" i="254" s="1"/>
  <c r="Y15" i="254"/>
  <c r="AA16" i="251"/>
  <c r="Z17" i="251"/>
  <c r="Z14" i="251"/>
  <c r="AB16" i="254"/>
  <c r="AA17" i="254"/>
  <c r="AA14" i="254"/>
  <c r="Y18" i="251"/>
  <c r="Y19" i="251" s="1"/>
  <c r="X15" i="251"/>
  <c r="Y18" i="252"/>
  <c r="AA16" i="252"/>
  <c r="Z17" i="252"/>
  <c r="Z14" i="252"/>
  <c r="X15" i="255"/>
  <c r="AB17" i="248" l="1"/>
  <c r="AC16" i="248"/>
  <c r="AB14" i="248"/>
  <c r="Z15" i="248"/>
  <c r="AA18" i="248"/>
  <c r="AA15" i="248"/>
  <c r="X19" i="249"/>
  <c r="AB14" i="250"/>
  <c r="AC16" i="250"/>
  <c r="AB17" i="250"/>
  <c r="AA18" i="250"/>
  <c r="AA19" i="250" s="1"/>
  <c r="AA27" i="250" a="1"/>
  <c r="AA27" i="250" s="1"/>
  <c r="Z15" i="250"/>
  <c r="Z27" i="253" a="1"/>
  <c r="Z27" i="253" s="1"/>
  <c r="AB16" i="258"/>
  <c r="AA17" i="258"/>
  <c r="AA14" i="258"/>
  <c r="Z18" i="258"/>
  <c r="Z19" i="258" s="1"/>
  <c r="Z27" i="258" a="1"/>
  <c r="Z27" i="258" s="1"/>
  <c r="Y15" i="258"/>
  <c r="AD16" i="257"/>
  <c r="AC17" i="257"/>
  <c r="AC14" i="257"/>
  <c r="AB15" i="257" s="1"/>
  <c r="Z18" i="256"/>
  <c r="Z27" i="256" s="1" a="1"/>
  <c r="Z27" i="256" s="1"/>
  <c r="Z19" i="256"/>
  <c r="Z18" i="255"/>
  <c r="Z27" i="255" s="1" a="1"/>
  <c r="Z27" i="255" s="1"/>
  <c r="AB16" i="256"/>
  <c r="AA14" i="256"/>
  <c r="Z15" i="256" s="1"/>
  <c r="AA17" i="256"/>
  <c r="AA17" i="255"/>
  <c r="AB16" i="255"/>
  <c r="AA14" i="255"/>
  <c r="AA19" i="257"/>
  <c r="AA27" i="257" a="1"/>
  <c r="AA27" i="257" s="1"/>
  <c r="AA18" i="254"/>
  <c r="Z15" i="254"/>
  <c r="Y19" i="252"/>
  <c r="Z27" i="254" a="1"/>
  <c r="Z27" i="254" s="1"/>
  <c r="Y19" i="256"/>
  <c r="AB17" i="254"/>
  <c r="AC16" i="254"/>
  <c r="AB14" i="254"/>
  <c r="AA15" i="254" s="1"/>
  <c r="Y18" i="249"/>
  <c r="X15" i="249"/>
  <c r="Z18" i="252"/>
  <c r="Y15" i="252"/>
  <c r="Z18" i="251"/>
  <c r="Y15" i="251"/>
  <c r="AA16" i="249"/>
  <c r="Z17" i="249"/>
  <c r="Z14" i="249"/>
  <c r="AA18" i="253"/>
  <c r="AA19" i="253" s="1"/>
  <c r="Z15" i="253"/>
  <c r="AB17" i="253"/>
  <c r="AC16" i="253"/>
  <c r="AB14" i="253"/>
  <c r="AB16" i="252"/>
  <c r="AA17" i="252"/>
  <c r="AA14" i="252"/>
  <c r="AA14" i="251"/>
  <c r="AB16" i="251"/>
  <c r="AA17" i="251"/>
  <c r="Z15" i="255"/>
  <c r="AB18" i="257"/>
  <c r="AA15" i="257"/>
  <c r="Y15" i="256"/>
  <c r="AA27" i="253" l="1" a="1"/>
  <c r="AA27" i="253" s="1"/>
  <c r="AA27" i="248" a="1"/>
  <c r="AA27" i="248" s="1"/>
  <c r="AA19" i="248"/>
  <c r="AB18" i="248"/>
  <c r="AB27" i="248" s="1" a="1"/>
  <c r="AB27" i="248" s="1"/>
  <c r="AB19" i="248"/>
  <c r="AC17" i="248"/>
  <c r="AC14" i="248"/>
  <c r="AD16" i="248"/>
  <c r="AD16" i="250"/>
  <c r="AC17" i="250"/>
  <c r="AC14" i="250"/>
  <c r="AB18" i="250"/>
  <c r="AB27" i="250" s="1" a="1"/>
  <c r="AB27" i="250" s="1"/>
  <c r="AA15" i="250"/>
  <c r="AA18" i="258"/>
  <c r="Z15" i="258"/>
  <c r="AB17" i="258"/>
  <c r="AC16" i="258"/>
  <c r="AB14" i="258"/>
  <c r="Z19" i="252"/>
  <c r="AB14" i="251"/>
  <c r="AC16" i="251"/>
  <c r="AB17" i="251"/>
  <c r="Z27" i="252" a="1"/>
  <c r="Z27" i="252" s="1"/>
  <c r="AA18" i="251"/>
  <c r="AA19" i="251"/>
  <c r="Z15" i="251"/>
  <c r="Z18" i="249"/>
  <c r="Z19" i="249" s="1"/>
  <c r="AA18" i="255"/>
  <c r="AA19" i="255" s="1"/>
  <c r="AA18" i="252"/>
  <c r="AA19" i="252" s="1"/>
  <c r="Y15" i="249"/>
  <c r="AC16" i="255"/>
  <c r="AB17" i="255"/>
  <c r="AB14" i="255"/>
  <c r="AB19" i="257"/>
  <c r="AB16" i="249"/>
  <c r="AA17" i="249"/>
  <c r="AA14" i="249"/>
  <c r="AC18" i="257"/>
  <c r="AC19" i="257" s="1"/>
  <c r="AC16" i="252"/>
  <c r="AB17" i="252"/>
  <c r="AB14" i="252"/>
  <c r="Z15" i="249"/>
  <c r="AE16" i="257"/>
  <c r="AD17" i="257"/>
  <c r="AD14" i="257"/>
  <c r="AD16" i="253"/>
  <c r="AC14" i="253"/>
  <c r="AC17" i="253"/>
  <c r="Z19" i="251"/>
  <c r="AA18" i="256"/>
  <c r="AA19" i="256" s="1"/>
  <c r="AB18" i="253"/>
  <c r="AB19" i="253" s="1"/>
  <c r="Y19" i="249"/>
  <c r="AB17" i="256"/>
  <c r="AC16" i="256"/>
  <c r="AB14" i="256"/>
  <c r="AB18" i="254"/>
  <c r="AA19" i="254"/>
  <c r="Z15" i="252"/>
  <c r="AD16" i="254"/>
  <c r="AC17" i="254"/>
  <c r="AC14" i="254"/>
  <c r="Z19" i="255"/>
  <c r="AA15" i="253"/>
  <c r="AD17" i="248" l="1"/>
  <c r="AE16" i="248"/>
  <c r="AD14" i="248"/>
  <c r="AB15" i="248"/>
  <c r="AC18" i="248"/>
  <c r="AC27" i="248" s="1" a="1"/>
  <c r="AC27" i="248" s="1"/>
  <c r="AC15" i="248"/>
  <c r="Z27" i="249" a="1"/>
  <c r="Z27" i="249" s="1"/>
  <c r="AB19" i="250"/>
  <c r="AC18" i="250"/>
  <c r="AC19" i="250"/>
  <c r="AC27" i="250" a="1"/>
  <c r="AC27" i="250" s="1"/>
  <c r="AB15" i="250"/>
  <c r="AD14" i="250"/>
  <c r="AD17" i="250"/>
  <c r="AE16" i="250"/>
  <c r="AA27" i="255" a="1"/>
  <c r="AA27" i="255" s="1"/>
  <c r="AB18" i="258"/>
  <c r="AB19" i="258"/>
  <c r="AB27" i="258" a="1"/>
  <c r="AB27" i="258" s="1"/>
  <c r="AA15" i="258"/>
  <c r="AD16" i="258"/>
  <c r="AC17" i="258"/>
  <c r="AC14" i="258"/>
  <c r="AA19" i="258"/>
  <c r="AA27" i="258" a="1"/>
  <c r="AA27" i="258" s="1"/>
  <c r="AB27" i="253" a="1"/>
  <c r="AB27" i="253" s="1"/>
  <c r="AD16" i="251"/>
  <c r="AC17" i="251"/>
  <c r="AC14" i="251"/>
  <c r="AB15" i="251" s="1"/>
  <c r="AB18" i="252"/>
  <c r="AB27" i="252" s="1" a="1"/>
  <c r="AB27" i="252" s="1"/>
  <c r="AB18" i="251"/>
  <c r="AB19" i="251" s="1"/>
  <c r="AD16" i="252"/>
  <c r="AC17" i="252"/>
  <c r="AC14" i="252"/>
  <c r="AB18" i="256"/>
  <c r="AB27" i="256" s="1" a="1"/>
  <c r="AB27" i="256" s="1"/>
  <c r="AA15" i="256"/>
  <c r="AA27" i="256" a="1"/>
  <c r="AA27" i="256" s="1"/>
  <c r="AB18" i="255"/>
  <c r="AB27" i="255" s="1" a="1"/>
  <c r="AB27" i="255" s="1"/>
  <c r="AA15" i="255"/>
  <c r="AD16" i="256"/>
  <c r="AC17" i="256"/>
  <c r="AC14" i="256"/>
  <c r="AD16" i="255"/>
  <c r="AC17" i="255"/>
  <c r="AC14" i="255"/>
  <c r="AC18" i="254"/>
  <c r="AC19" i="254" s="1"/>
  <c r="AD17" i="254"/>
  <c r="AE16" i="254"/>
  <c r="AD14" i="254"/>
  <c r="AB15" i="254"/>
  <c r="AC27" i="257" a="1"/>
  <c r="AC27" i="257" s="1"/>
  <c r="AC18" i="253"/>
  <c r="AC19" i="253" s="1"/>
  <c r="AC27" i="253" a="1"/>
  <c r="AC27" i="253" s="1"/>
  <c r="AA15" i="251"/>
  <c r="AD17" i="253"/>
  <c r="AE16" i="253"/>
  <c r="AD14" i="253"/>
  <c r="AC15" i="253" s="1"/>
  <c r="AA18" i="249"/>
  <c r="AA19" i="249" s="1"/>
  <c r="AB15" i="252"/>
  <c r="AD18" i="257"/>
  <c r="AD19" i="257" s="1"/>
  <c r="AC15" i="257"/>
  <c r="AB17" i="249"/>
  <c r="AC16" i="249"/>
  <c r="AB14" i="249"/>
  <c r="AB27" i="254" a="1"/>
  <c r="AB27" i="254" s="1"/>
  <c r="AE17" i="257"/>
  <c r="AE14" i="257"/>
  <c r="AF16" i="257"/>
  <c r="AA27" i="252" a="1"/>
  <c r="AA27" i="252" s="1"/>
  <c r="AA27" i="251" a="1"/>
  <c r="AA27" i="251" s="1"/>
  <c r="AA15" i="252"/>
  <c r="AB19" i="254"/>
  <c r="AB15" i="253"/>
  <c r="AB27" i="251" l="1" a="1"/>
  <c r="AB27" i="251" s="1"/>
  <c r="AC19" i="248"/>
  <c r="AD18" i="248"/>
  <c r="AD19" i="248"/>
  <c r="AD27" i="248" a="1"/>
  <c r="AD27" i="248" s="1"/>
  <c r="AF16" i="248"/>
  <c r="AE17" i="248"/>
  <c r="AE14" i="248"/>
  <c r="AF16" i="250"/>
  <c r="AE17" i="250"/>
  <c r="AE14" i="250"/>
  <c r="AD18" i="250"/>
  <c r="AD19" i="250" s="1"/>
  <c r="AD27" i="250" a="1"/>
  <c r="AD27" i="250" s="1"/>
  <c r="AC15" i="250"/>
  <c r="AD15" i="250"/>
  <c r="AB19" i="252"/>
  <c r="AB19" i="255"/>
  <c r="AD27" i="257" a="1"/>
  <c r="AD27" i="257" s="1"/>
  <c r="AE16" i="258"/>
  <c r="AD14" i="258"/>
  <c r="AD17" i="258"/>
  <c r="AC18" i="258"/>
  <c r="AB15" i="258"/>
  <c r="AC19" i="258"/>
  <c r="AC27" i="254" a="1"/>
  <c r="AC27" i="254" s="1"/>
  <c r="AD17" i="256"/>
  <c r="AE16" i="256"/>
  <c r="AD14" i="256"/>
  <c r="AB18" i="249"/>
  <c r="AD16" i="249"/>
  <c r="AC17" i="249"/>
  <c r="AC14" i="249"/>
  <c r="AA27" i="249" a="1"/>
  <c r="AA27" i="249" s="1"/>
  <c r="AD18" i="253"/>
  <c r="AC18" i="251"/>
  <c r="AC19" i="251" s="1"/>
  <c r="AC18" i="252"/>
  <c r="AD17" i="251"/>
  <c r="AE16" i="251"/>
  <c r="AD14" i="251"/>
  <c r="AC15" i="251" s="1"/>
  <c r="AF16" i="253"/>
  <c r="AE14" i="253"/>
  <c r="AE17" i="253"/>
  <c r="AD18" i="254"/>
  <c r="AD19" i="254" s="1"/>
  <c r="AC18" i="255"/>
  <c r="AB15" i="255"/>
  <c r="AF16" i="254"/>
  <c r="AE14" i="254"/>
  <c r="AE17" i="254"/>
  <c r="AD17" i="252"/>
  <c r="AE16" i="252"/>
  <c r="AD14" i="252"/>
  <c r="AF17" i="257"/>
  <c r="AF14" i="257"/>
  <c r="AG16" i="257"/>
  <c r="AE16" i="255"/>
  <c r="AD17" i="255"/>
  <c r="AD14" i="255"/>
  <c r="AE18" i="257"/>
  <c r="AD15" i="257"/>
  <c r="AC18" i="256"/>
  <c r="AC27" i="256" s="1" a="1"/>
  <c r="AC27" i="256" s="1"/>
  <c r="AB15" i="256"/>
  <c r="AB19" i="256"/>
  <c r="AC15" i="254"/>
  <c r="AD15" i="253"/>
  <c r="AA15" i="249"/>
  <c r="AD15" i="248" l="1"/>
  <c r="AE18" i="248"/>
  <c r="AF14" i="248"/>
  <c r="AG16" i="248"/>
  <c r="AF17" i="248"/>
  <c r="AE18" i="250"/>
  <c r="AE19" i="250"/>
  <c r="AG16" i="250"/>
  <c r="AF14" i="250"/>
  <c r="AF17" i="250"/>
  <c r="AC27" i="251" a="1"/>
  <c r="AC27" i="251" s="1"/>
  <c r="AC19" i="256"/>
  <c r="AD18" i="258"/>
  <c r="AD27" i="258" s="1" a="1"/>
  <c r="AD27" i="258" s="1"/>
  <c r="AF16" i="258"/>
  <c r="AE14" i="258"/>
  <c r="AE17" i="258"/>
  <c r="AC15" i="258"/>
  <c r="AF16" i="255"/>
  <c r="AE17" i="255"/>
  <c r="AE14" i="255"/>
  <c r="AG17" i="257"/>
  <c r="AG14" i="257"/>
  <c r="AH16" i="257"/>
  <c r="AC19" i="255"/>
  <c r="AC19" i="252"/>
  <c r="AC18" i="249"/>
  <c r="AF18" i="257"/>
  <c r="AC27" i="255" a="1"/>
  <c r="AC27" i="255" s="1"/>
  <c r="AD19" i="253"/>
  <c r="AE16" i="249"/>
  <c r="AD17" i="249"/>
  <c r="AD14" i="249"/>
  <c r="AC15" i="249" s="1"/>
  <c r="AD27" i="253" a="1"/>
  <c r="AD27" i="253" s="1"/>
  <c r="AD27" i="254" a="1"/>
  <c r="AD27" i="254" s="1"/>
  <c r="AB15" i="249"/>
  <c r="AD18" i="252"/>
  <c r="AC15" i="252"/>
  <c r="AF16" i="252"/>
  <c r="AE17" i="252"/>
  <c r="AE14" i="252"/>
  <c r="AE18" i="253"/>
  <c r="AB19" i="249"/>
  <c r="AD18" i="256"/>
  <c r="AD19" i="256" s="1"/>
  <c r="AC15" i="256"/>
  <c r="AE19" i="257"/>
  <c r="AF17" i="253"/>
  <c r="AF14" i="253"/>
  <c r="AG16" i="253"/>
  <c r="AF16" i="256"/>
  <c r="AE17" i="256"/>
  <c r="AE14" i="256"/>
  <c r="AE27" i="257" a="1"/>
  <c r="AE27" i="257" s="1"/>
  <c r="AE18" i="254"/>
  <c r="AE19" i="254" s="1"/>
  <c r="AD15" i="254"/>
  <c r="AD18" i="251"/>
  <c r="AD19" i="251" s="1"/>
  <c r="AD18" i="255"/>
  <c r="AC15" i="255"/>
  <c r="AF17" i="254"/>
  <c r="AG16" i="254"/>
  <c r="AF14" i="254"/>
  <c r="AE14" i="251"/>
  <c r="AF16" i="251"/>
  <c r="AE17" i="251"/>
  <c r="AE15" i="257"/>
  <c r="AF18" i="248" l="1"/>
  <c r="AF19" i="248" s="1"/>
  <c r="AE15" i="248"/>
  <c r="AE19" i="248"/>
  <c r="AE27" i="248" a="1"/>
  <c r="AE27" i="248" s="1"/>
  <c r="AG17" i="248"/>
  <c r="AH16" i="248"/>
  <c r="AG14" i="248"/>
  <c r="AF18" i="250"/>
  <c r="AF19" i="250"/>
  <c r="AE15" i="250"/>
  <c r="AH16" i="250"/>
  <c r="AG17" i="250"/>
  <c r="AG14" i="250"/>
  <c r="AD27" i="251" a="1"/>
  <c r="AD27" i="251" s="1"/>
  <c r="AD15" i="258"/>
  <c r="AE18" i="258"/>
  <c r="AE19" i="258" s="1"/>
  <c r="AF17" i="258"/>
  <c r="AF14" i="258"/>
  <c r="AG16" i="258"/>
  <c r="AD19" i="258"/>
  <c r="AF18" i="254"/>
  <c r="AE15" i="254"/>
  <c r="AG14" i="254"/>
  <c r="AF15" i="254" s="1"/>
  <c r="AG17" i="254"/>
  <c r="AH16" i="254"/>
  <c r="AD27" i="256" a="1"/>
  <c r="AD27" i="256" s="1"/>
  <c r="AE27" i="254" a="1"/>
  <c r="AE27" i="254" s="1"/>
  <c r="AH17" i="257"/>
  <c r="AI16" i="257"/>
  <c r="AH14" i="257"/>
  <c r="AG18" i="257"/>
  <c r="AG27" i="257" s="1" a="1"/>
  <c r="AG27" i="257" s="1"/>
  <c r="AF15" i="257"/>
  <c r="AE18" i="256"/>
  <c r="AE27" i="256" s="1" a="1"/>
  <c r="AE27" i="256" s="1"/>
  <c r="AD15" i="256"/>
  <c r="AE18" i="252"/>
  <c r="AE19" i="252" s="1"/>
  <c r="AD19" i="255"/>
  <c r="AF17" i="256"/>
  <c r="AG16" i="256"/>
  <c r="AF14" i="256"/>
  <c r="AG16" i="252"/>
  <c r="AF17" i="252"/>
  <c r="AF14" i="252"/>
  <c r="AF19" i="257"/>
  <c r="AD18" i="249"/>
  <c r="AD19" i="249" s="1"/>
  <c r="AG14" i="253"/>
  <c r="AF15" i="253" s="1"/>
  <c r="AG17" i="253"/>
  <c r="AH16" i="253"/>
  <c r="AE17" i="249"/>
  <c r="AF16" i="249"/>
  <c r="AE14" i="249"/>
  <c r="AD15" i="249" s="1"/>
  <c r="AF18" i="253"/>
  <c r="AF19" i="253" s="1"/>
  <c r="AE15" i="253"/>
  <c r="AE19" i="253"/>
  <c r="AE18" i="255"/>
  <c r="AE19" i="255" s="1"/>
  <c r="AD15" i="255"/>
  <c r="AF14" i="251"/>
  <c r="AG16" i="251"/>
  <c r="AF17" i="251"/>
  <c r="AD19" i="252"/>
  <c r="AC19" i="249"/>
  <c r="AG16" i="255"/>
  <c r="AF17" i="255"/>
  <c r="AF14" i="255"/>
  <c r="AE18" i="251"/>
  <c r="AE27" i="251" s="1" a="1"/>
  <c r="AE27" i="251" s="1"/>
  <c r="AD15" i="251"/>
  <c r="AE27" i="253" a="1"/>
  <c r="AE27" i="253" s="1"/>
  <c r="AD27" i="252" a="1"/>
  <c r="AD27" i="252" s="1"/>
  <c r="AC27" i="249" a="1"/>
  <c r="AC27" i="249" s="1"/>
  <c r="AD15" i="252"/>
  <c r="AD27" i="249" l="1" a="1"/>
  <c r="AD27" i="249" s="1"/>
  <c r="AE27" i="252" a="1"/>
  <c r="AE27" i="252" s="1"/>
  <c r="AG19" i="257"/>
  <c r="AE27" i="258" a="1"/>
  <c r="AE27" i="258" s="1"/>
  <c r="AH14" i="248"/>
  <c r="AI16" i="248"/>
  <c r="AH17" i="248"/>
  <c r="AG18" i="248"/>
  <c r="AG19" i="248" s="1"/>
  <c r="AF15" i="248"/>
  <c r="AH17" i="250"/>
  <c r="AI16" i="250"/>
  <c r="AH14" i="250"/>
  <c r="AF15" i="250"/>
  <c r="AG18" i="250"/>
  <c r="AG27" i="250" a="1"/>
  <c r="AG27" i="250" s="1"/>
  <c r="AG19" i="250"/>
  <c r="AE19" i="251"/>
  <c r="AE19" i="256"/>
  <c r="AE15" i="258"/>
  <c r="AF18" i="258"/>
  <c r="AF19" i="258" s="1"/>
  <c r="AG14" i="258"/>
  <c r="AG17" i="258"/>
  <c r="AH16" i="258"/>
  <c r="AF18" i="255"/>
  <c r="AF19" i="255" s="1"/>
  <c r="AE15" i="255"/>
  <c r="AE27" i="255" a="1"/>
  <c r="AE27" i="255" s="1"/>
  <c r="AH18" i="257"/>
  <c r="AH27" i="257" s="1" a="1"/>
  <c r="AH27" i="257" s="1"/>
  <c r="AG15" i="257"/>
  <c r="AI16" i="254"/>
  <c r="AH17" i="254"/>
  <c r="AH14" i="254"/>
  <c r="AG15" i="254" s="1"/>
  <c r="AH16" i="255"/>
  <c r="AG17" i="255"/>
  <c r="AG14" i="255"/>
  <c r="AI17" i="257"/>
  <c r="AJ16" i="257"/>
  <c r="AI14" i="257"/>
  <c r="AG18" i="254"/>
  <c r="AG27" i="254" s="1" a="1"/>
  <c r="AG27" i="254" s="1"/>
  <c r="AE18" i="249"/>
  <c r="AE19" i="249" s="1"/>
  <c r="AG16" i="249"/>
  <c r="AF17" i="249"/>
  <c r="AF14" i="249"/>
  <c r="AE15" i="249" s="1"/>
  <c r="AF18" i="252"/>
  <c r="AF19" i="252"/>
  <c r="AE15" i="252"/>
  <c r="AH16" i="251"/>
  <c r="AG17" i="251"/>
  <c r="AG14" i="251"/>
  <c r="AH17" i="253"/>
  <c r="AI16" i="253"/>
  <c r="AH14" i="253"/>
  <c r="AH16" i="252"/>
  <c r="AG17" i="252"/>
  <c r="AG14" i="252"/>
  <c r="AF19" i="254"/>
  <c r="AF18" i="251"/>
  <c r="AF19" i="251" s="1"/>
  <c r="AE15" i="251"/>
  <c r="AG18" i="253"/>
  <c r="AG27" i="253" s="1" a="1"/>
  <c r="AG27" i="253" s="1"/>
  <c r="AF18" i="256"/>
  <c r="AF19" i="256" s="1"/>
  <c r="AH16" i="256"/>
  <c r="AG17" i="256"/>
  <c r="AG14" i="256"/>
  <c r="AE15" i="256"/>
  <c r="AI17" i="248" l="1"/>
  <c r="AJ16" i="248"/>
  <c r="AI14" i="248"/>
  <c r="AG15" i="248"/>
  <c r="AH18" i="248"/>
  <c r="AH27" i="248" a="1"/>
  <c r="AH27" i="248" s="1"/>
  <c r="AH18" i="250"/>
  <c r="AH19" i="250"/>
  <c r="AJ16" i="250"/>
  <c r="AI14" i="250"/>
  <c r="AI17" i="250"/>
  <c r="AG15" i="250"/>
  <c r="AI16" i="258"/>
  <c r="AH17" i="258"/>
  <c r="AH14" i="258"/>
  <c r="AF15" i="258"/>
  <c r="AG18" i="258"/>
  <c r="AG19" i="258" s="1"/>
  <c r="AG18" i="252"/>
  <c r="AH26" i="257"/>
  <c r="AH15" i="257"/>
  <c r="AI16" i="252"/>
  <c r="AH17" i="252"/>
  <c r="AH14" i="252"/>
  <c r="AF18" i="249"/>
  <c r="AF19" i="249" s="1"/>
  <c r="AI18" i="257"/>
  <c r="AI19" i="257" s="1"/>
  <c r="AH18" i="253"/>
  <c r="AH19" i="253" s="1"/>
  <c r="AH27" i="253" a="1"/>
  <c r="AH27" i="253" s="1"/>
  <c r="AG15" i="253"/>
  <c r="AH16" i="249"/>
  <c r="AG17" i="249"/>
  <c r="AG14" i="249"/>
  <c r="AG18" i="256"/>
  <c r="AG19" i="253"/>
  <c r="AI17" i="253"/>
  <c r="AJ16" i="253"/>
  <c r="AI14" i="253"/>
  <c r="AJ17" i="257"/>
  <c r="AJ14" i="257"/>
  <c r="AH17" i="256"/>
  <c r="AI16" i="256"/>
  <c r="AH14" i="256"/>
  <c r="AG15" i="256" s="1"/>
  <c r="AG18" i="255"/>
  <c r="AG19" i="255" s="1"/>
  <c r="AF15" i="255"/>
  <c r="AE27" i="249" a="1"/>
  <c r="AE27" i="249" s="1"/>
  <c r="AI16" i="255"/>
  <c r="AH17" i="255"/>
  <c r="AH14" i="255"/>
  <c r="AG18" i="251"/>
  <c r="AG19" i="251" s="1"/>
  <c r="AF15" i="251"/>
  <c r="AI16" i="251"/>
  <c r="AH17" i="251"/>
  <c r="AH14" i="251"/>
  <c r="AG15" i="251" s="1"/>
  <c r="AH18" i="254"/>
  <c r="AH19" i="254" s="1"/>
  <c r="AI14" i="254"/>
  <c r="AI17" i="254"/>
  <c r="AJ16" i="254"/>
  <c r="AF15" i="252"/>
  <c r="AG19" i="254"/>
  <c r="AH19" i="257"/>
  <c r="AF15" i="256"/>
  <c r="AL17" i="257" l="1" a="1"/>
  <c r="AL17" i="257" s="1"/>
  <c r="L26" i="145" s="1"/>
  <c r="L25" i="145"/>
  <c r="AH15" i="248"/>
  <c r="AI18" i="248"/>
  <c r="AI26" i="248" s="1"/>
  <c r="AH19" i="248"/>
  <c r="AH26" i="248"/>
  <c r="AJ17" i="248"/>
  <c r="AJ14" i="248"/>
  <c r="AI15" i="248" s="1"/>
  <c r="AJ15" i="248"/>
  <c r="AJ14" i="250"/>
  <c r="AJ17" i="250"/>
  <c r="AI18" i="250"/>
  <c r="AI26" i="250" s="1"/>
  <c r="AI27" i="250" a="1"/>
  <c r="AI27" i="250" s="1"/>
  <c r="AJ15" i="250"/>
  <c r="AI19" i="250"/>
  <c r="AH15" i="250"/>
  <c r="AH27" i="250" a="1"/>
  <c r="AH27" i="250" s="1"/>
  <c r="AH26" i="250"/>
  <c r="AG27" i="255" a="1"/>
  <c r="AG27" i="255" s="1"/>
  <c r="AG27" i="258" a="1"/>
  <c r="AG27" i="258" s="1"/>
  <c r="AH18" i="258"/>
  <c r="AH26" i="258" s="1"/>
  <c r="AG15" i="258"/>
  <c r="AJ16" i="258"/>
  <c r="AI17" i="258"/>
  <c r="AI14" i="258"/>
  <c r="AF15" i="249"/>
  <c r="AI16" i="249"/>
  <c r="AH17" i="249"/>
  <c r="AH14" i="249"/>
  <c r="AG15" i="255"/>
  <c r="AH26" i="254"/>
  <c r="AJ18" i="257"/>
  <c r="AJ16" i="255"/>
  <c r="AI17" i="255"/>
  <c r="AI14" i="255"/>
  <c r="AH18" i="251"/>
  <c r="AH19" i="251" s="1"/>
  <c r="AI18" i="253"/>
  <c r="AI19" i="253" s="1"/>
  <c r="AH26" i="253"/>
  <c r="AJ14" i="253"/>
  <c r="AJ17" i="253"/>
  <c r="AJ17" i="254"/>
  <c r="AJ14" i="254"/>
  <c r="AJ15" i="254" s="1"/>
  <c r="AJ16" i="251"/>
  <c r="AI17" i="251"/>
  <c r="AI14" i="251"/>
  <c r="AH18" i="252"/>
  <c r="AH27" i="252" s="1" a="1"/>
  <c r="AH27" i="252" s="1"/>
  <c r="AH15" i="252"/>
  <c r="AI26" i="257"/>
  <c r="AI18" i="254"/>
  <c r="AI27" i="254" s="1" a="1"/>
  <c r="AI27" i="254" s="1"/>
  <c r="AH15" i="254"/>
  <c r="AJ15" i="257"/>
  <c r="AJ16" i="252"/>
  <c r="AI17" i="252"/>
  <c r="AI14" i="252"/>
  <c r="AG19" i="252"/>
  <c r="AG27" i="252" a="1"/>
  <c r="AG27" i="252" s="1"/>
  <c r="AG19" i="256"/>
  <c r="AH18" i="256"/>
  <c r="AH19" i="256" s="1"/>
  <c r="AG27" i="256" a="1"/>
  <c r="AG27" i="256" s="1"/>
  <c r="AG15" i="252"/>
  <c r="AJ16" i="256"/>
  <c r="AI17" i="256"/>
  <c r="AI14" i="256"/>
  <c r="AH15" i="256" s="1"/>
  <c r="AG18" i="249"/>
  <c r="AG27" i="249" a="1"/>
  <c r="AG27" i="249" s="1"/>
  <c r="AH15" i="253"/>
  <c r="AH18" i="255"/>
  <c r="AH19" i="255" s="1"/>
  <c r="AI15" i="257"/>
  <c r="AH19" i="252" l="1"/>
  <c r="AJ27" i="257" a="1"/>
  <c r="AJ27" i="257" s="1"/>
  <c r="L34" i="145" a="1"/>
  <c r="L34" i="145" s="1"/>
  <c r="L31" i="145" a="1"/>
  <c r="L31" i="145" s="1"/>
  <c r="L29" i="145" a="1"/>
  <c r="L29" i="145" s="1"/>
  <c r="L35" i="145" a="1"/>
  <c r="L35" i="145" s="1"/>
  <c r="L32" i="145" a="1"/>
  <c r="L32" i="145" s="1"/>
  <c r="L30" i="145" a="1"/>
  <c r="L30" i="145" s="1"/>
  <c r="L33" i="145" a="1"/>
  <c r="L33" i="145" s="1"/>
  <c r="AL17" i="250" a="1"/>
  <c r="AL17" i="250" s="1"/>
  <c r="S26" i="145" s="1"/>
  <c r="S25" i="145"/>
  <c r="AL17" i="254" a="1"/>
  <c r="AL17" i="254" s="1"/>
  <c r="O26" i="145" s="1"/>
  <c r="O25" i="145"/>
  <c r="AL17" i="253" a="1"/>
  <c r="AL17" i="253" s="1"/>
  <c r="P26" i="145" s="1"/>
  <c r="P25" i="145"/>
  <c r="AL17" i="248" a="1"/>
  <c r="AL17" i="248" s="1"/>
  <c r="U26" i="145" s="1"/>
  <c r="V26" i="145"/>
  <c r="U25" i="145"/>
  <c r="AJ18" i="248"/>
  <c r="AJ19" i="248"/>
  <c r="AI19" i="248"/>
  <c r="AI27" i="248" a="1"/>
  <c r="AI27" i="248" s="1"/>
  <c r="AJ18" i="250"/>
  <c r="AJ19" i="250"/>
  <c r="AJ27" i="250" a="1"/>
  <c r="AJ27" i="250" s="1"/>
  <c r="AI15" i="250"/>
  <c r="AH27" i="255" a="1"/>
  <c r="AH27" i="255" s="1"/>
  <c r="AH27" i="256" a="1"/>
  <c r="AH27" i="256" s="1"/>
  <c r="AI18" i="258"/>
  <c r="AH15" i="258"/>
  <c r="AI27" i="258" a="1"/>
  <c r="AI27" i="258" s="1"/>
  <c r="AH19" i="258"/>
  <c r="AJ14" i="258"/>
  <c r="AJ17" i="258"/>
  <c r="AH27" i="258" a="1"/>
  <c r="AH27" i="258" s="1"/>
  <c r="AJ15" i="258"/>
  <c r="AJ17" i="256"/>
  <c r="AJ14" i="256"/>
  <c r="AJ15" i="256" s="1"/>
  <c r="AH26" i="252"/>
  <c r="AI26" i="253"/>
  <c r="AI18" i="251"/>
  <c r="AI19" i="251" s="1"/>
  <c r="AH15" i="251"/>
  <c r="AJ17" i="252"/>
  <c r="AJ14" i="252"/>
  <c r="AJ15" i="252" s="1"/>
  <c r="AH26" i="255"/>
  <c r="AJ17" i="251"/>
  <c r="AJ14" i="251"/>
  <c r="AJ15" i="251" s="1"/>
  <c r="AH27" i="251" a="1"/>
  <c r="AH27" i="251" s="1"/>
  <c r="AJ27" i="254" a="1"/>
  <c r="AJ27" i="254" s="1"/>
  <c r="AJ18" i="254"/>
  <c r="AI15" i="254"/>
  <c r="AJ19" i="258"/>
  <c r="AH26" i="251"/>
  <c r="AH26" i="256"/>
  <c r="AI19" i="254"/>
  <c r="AI18" i="255"/>
  <c r="AH18" i="249"/>
  <c r="AH27" i="249" s="1" a="1"/>
  <c r="AH27" i="249" s="1"/>
  <c r="AJ18" i="253"/>
  <c r="AJ19" i="253"/>
  <c r="AI15" i="253"/>
  <c r="AI26" i="254"/>
  <c r="AJ17" i="255"/>
  <c r="AJ14" i="255"/>
  <c r="AJ15" i="255" s="1"/>
  <c r="AJ16" i="249"/>
  <c r="AI17" i="249"/>
  <c r="AI14" i="249"/>
  <c r="AJ26" i="257"/>
  <c r="AL26" i="257" s="1"/>
  <c r="AH15" i="255"/>
  <c r="AG19" i="249"/>
  <c r="AJ15" i="253"/>
  <c r="AJ19" i="257"/>
  <c r="AI18" i="256"/>
  <c r="AI27" i="256" s="1" a="1"/>
  <c r="AI27" i="256" s="1"/>
  <c r="AI18" i="252"/>
  <c r="AI27" i="252" s="1" a="1"/>
  <c r="AI27" i="252" s="1"/>
  <c r="AI15" i="252"/>
  <c r="AI27" i="253" a="1"/>
  <c r="AI27" i="253" s="1"/>
  <c r="AG15" i="249"/>
  <c r="AL17" i="255" l="1" a="1"/>
  <c r="AL17" i="255" s="1"/>
  <c r="N26" i="145" s="1"/>
  <c r="N25" i="145"/>
  <c r="AL17" i="251" a="1"/>
  <c r="AL17" i="251" s="1"/>
  <c r="R26" i="145" s="1"/>
  <c r="R25" i="145"/>
  <c r="AJ27" i="253" a="1"/>
  <c r="AJ27" i="253" s="1"/>
  <c r="P30" i="145" a="1"/>
  <c r="P30" i="145" s="1"/>
  <c r="P34" i="145" a="1"/>
  <c r="P34" i="145" s="1"/>
  <c r="P35" i="145" a="1"/>
  <c r="P35" i="145" s="1"/>
  <c r="P32" i="145" a="1"/>
  <c r="P32" i="145" s="1"/>
  <c r="P33" i="145" a="1"/>
  <c r="P33" i="145" s="1"/>
  <c r="P31" i="145" a="1"/>
  <c r="P31" i="145" s="1"/>
  <c r="P29" i="145" a="1"/>
  <c r="P29" i="145" s="1"/>
  <c r="AL17" i="252" a="1"/>
  <c r="AL17" i="252" s="1"/>
  <c r="Q26" i="145" s="1"/>
  <c r="Q25" i="145"/>
  <c r="AJ26" i="250"/>
  <c r="AL26" i="250" s="1"/>
  <c r="S31" i="145" a="1"/>
  <c r="S31" i="145" s="1"/>
  <c r="S35" i="145" a="1"/>
  <c r="S35" i="145" s="1"/>
  <c r="S34" i="145" a="1"/>
  <c r="S34" i="145" s="1"/>
  <c r="S32" i="145" a="1"/>
  <c r="S32" i="145" s="1"/>
  <c r="S30" i="145" a="1"/>
  <c r="S30" i="145" s="1"/>
  <c r="S29" i="145" a="1"/>
  <c r="S29" i="145" s="1"/>
  <c r="S33" i="145" a="1"/>
  <c r="S33" i="145" s="1"/>
  <c r="AI15" i="256"/>
  <c r="AL17" i="256" a="1"/>
  <c r="AL17" i="256" s="1"/>
  <c r="M26" i="145" s="1"/>
  <c r="M25" i="145"/>
  <c r="U33" i="145" a="1"/>
  <c r="U33" i="145" s="1"/>
  <c r="U30" i="145" a="1"/>
  <c r="U30" i="145" s="1"/>
  <c r="U32" i="145" a="1"/>
  <c r="U32" i="145" s="1"/>
  <c r="U34" i="145" a="1"/>
  <c r="U34" i="145" s="1"/>
  <c r="U31" i="145" a="1"/>
  <c r="U31" i="145" s="1"/>
  <c r="U35" i="145" a="1"/>
  <c r="U35" i="145" s="1"/>
  <c r="U29" i="145" a="1"/>
  <c r="U29" i="145" s="1"/>
  <c r="O29" i="145" a="1"/>
  <c r="O29" i="145" s="1"/>
  <c r="O34" i="145" a="1"/>
  <c r="O34" i="145" s="1"/>
  <c r="O33" i="145" a="1"/>
  <c r="O33" i="145" s="1"/>
  <c r="O31" i="145" a="1"/>
  <c r="O31" i="145" s="1"/>
  <c r="O32" i="145" a="1"/>
  <c r="O32" i="145" s="1"/>
  <c r="O35" i="145" a="1"/>
  <c r="O35" i="145" s="1"/>
  <c r="O30" i="145" a="1"/>
  <c r="O30" i="145" s="1"/>
  <c r="AL17" i="258" a="1"/>
  <c r="AL17" i="258" s="1"/>
  <c r="K26" i="145" s="1"/>
  <c r="K25" i="145"/>
  <c r="AJ26" i="248"/>
  <c r="AL26" i="248" s="1"/>
  <c r="AH19" i="249"/>
  <c r="AI15" i="258"/>
  <c r="AJ18" i="258"/>
  <c r="AJ27" i="258" a="1"/>
  <c r="AJ27" i="258" s="1"/>
  <c r="AI19" i="258"/>
  <c r="AI26" i="258"/>
  <c r="AJ18" i="252"/>
  <c r="AI19" i="252"/>
  <c r="AH26" i="249"/>
  <c r="AJ26" i="254"/>
  <c r="AL26" i="254" s="1"/>
  <c r="AJ17" i="249"/>
  <c r="AJ14" i="249"/>
  <c r="AI26" i="255"/>
  <c r="AJ19" i="254"/>
  <c r="AI26" i="251"/>
  <c r="AJ18" i="255"/>
  <c r="AI15" i="255"/>
  <c r="AI27" i="251" a="1"/>
  <c r="AI27" i="251" s="1"/>
  <c r="AI26" i="256"/>
  <c r="AI19" i="255"/>
  <c r="AI27" i="255" a="1"/>
  <c r="AI27" i="255" s="1"/>
  <c r="AI19" i="256"/>
  <c r="AJ18" i="251"/>
  <c r="AJ19" i="251"/>
  <c r="AI18" i="249"/>
  <c r="AH15" i="249"/>
  <c r="AI15" i="251"/>
  <c r="AJ18" i="256"/>
  <c r="AJ26" i="253"/>
  <c r="AL26" i="253" s="1"/>
  <c r="AI26" i="252"/>
  <c r="AJ27" i="255" l="1" a="1"/>
  <c r="AJ27" i="255" s="1"/>
  <c r="N35" i="145" a="1"/>
  <c r="N35" i="145" s="1"/>
  <c r="N34" i="145" a="1"/>
  <c r="N34" i="145" s="1"/>
  <c r="N33" i="145" a="1"/>
  <c r="N33" i="145" s="1"/>
  <c r="N30" i="145" a="1"/>
  <c r="N30" i="145" s="1"/>
  <c r="N32" i="145" a="1"/>
  <c r="N32" i="145" s="1"/>
  <c r="N31" i="145" a="1"/>
  <c r="N31" i="145" s="1"/>
  <c r="N29" i="145" a="1"/>
  <c r="N29" i="145" s="1"/>
  <c r="AJ26" i="258"/>
  <c r="K29" i="145" a="1"/>
  <c r="K29" i="145" s="1"/>
  <c r="K32" i="145" a="1"/>
  <c r="K32" i="145" s="1"/>
  <c r="K31" i="145" a="1"/>
  <c r="K31" i="145" s="1"/>
  <c r="K34" i="145" a="1"/>
  <c r="K34" i="145" s="1"/>
  <c r="K30" i="145" a="1"/>
  <c r="K30" i="145" s="1"/>
  <c r="K35" i="145" a="1"/>
  <c r="K35" i="145" s="1"/>
  <c r="K33" i="145" a="1"/>
  <c r="K33" i="145" s="1"/>
  <c r="AJ19" i="256"/>
  <c r="M35" i="145" a="1"/>
  <c r="M35" i="145" s="1"/>
  <c r="M30" i="145" a="1"/>
  <c r="M30" i="145" s="1"/>
  <c r="M33" i="145" a="1"/>
  <c r="M33" i="145" s="1"/>
  <c r="M31" i="145" a="1"/>
  <c r="M31" i="145" s="1"/>
  <c r="M34" i="145" a="1"/>
  <c r="M34" i="145" s="1"/>
  <c r="M32" i="145" a="1"/>
  <c r="M32" i="145" s="1"/>
  <c r="M29" i="145" a="1"/>
  <c r="M29" i="145" s="1"/>
  <c r="AL17" i="249" a="1"/>
  <c r="AL17" i="249" s="1"/>
  <c r="T26" i="145" s="1"/>
  <c r="T25" i="145"/>
  <c r="R29" i="145" a="1"/>
  <c r="R29" i="145" s="1"/>
  <c r="R31" i="145" a="1"/>
  <c r="R31" i="145" s="1"/>
  <c r="R35" i="145" a="1"/>
  <c r="R35" i="145" s="1"/>
  <c r="R34" i="145" a="1"/>
  <c r="R34" i="145" s="1"/>
  <c r="R33" i="145" a="1"/>
  <c r="R33" i="145" s="1"/>
  <c r="R30" i="145" a="1"/>
  <c r="R30" i="145" s="1"/>
  <c r="R32" i="145" a="1"/>
  <c r="R32" i="145" s="1"/>
  <c r="Q32" i="145" a="1"/>
  <c r="Q32" i="145" s="1"/>
  <c r="Q29" i="145" a="1"/>
  <c r="Q29" i="145" s="1"/>
  <c r="Q31" i="145" a="1"/>
  <c r="Q31" i="145" s="1"/>
  <c r="Q34" i="145" a="1"/>
  <c r="Q34" i="145" s="1"/>
  <c r="Q35" i="145" a="1"/>
  <c r="Q35" i="145" s="1"/>
  <c r="Q33" i="145" a="1"/>
  <c r="Q33" i="145" s="1"/>
  <c r="Q30" i="145" a="1"/>
  <c r="Q30" i="145" s="1"/>
  <c r="AL26" i="258"/>
  <c r="AJ26" i="251"/>
  <c r="AL26" i="251" s="1"/>
  <c r="AJ27" i="251" a="1"/>
  <c r="AJ27" i="251" s="1"/>
  <c r="AJ18" i="249"/>
  <c r="AJ27" i="249" a="1"/>
  <c r="AJ27" i="249" s="1"/>
  <c r="AJ26" i="256"/>
  <c r="AL26" i="256" s="1"/>
  <c r="AJ27" i="256" a="1"/>
  <c r="AJ27" i="256" s="1"/>
  <c r="AJ15" i="249"/>
  <c r="AJ26" i="252"/>
  <c r="AL26" i="252" s="1"/>
  <c r="AI26" i="249"/>
  <c r="AJ26" i="255"/>
  <c r="AL26" i="255" s="1"/>
  <c r="AJ19" i="255"/>
  <c r="AJ19" i="252"/>
  <c r="AI19" i="249"/>
  <c r="AI15" i="249"/>
  <c r="T32" i="145" l="1" a="1"/>
  <c r="T32" i="145" s="1"/>
  <c r="T34" i="145" a="1"/>
  <c r="T34" i="145" s="1"/>
  <c r="T33" i="145" a="1"/>
  <c r="T33" i="145" s="1"/>
  <c r="T29" i="145" a="1"/>
  <c r="T29" i="145" s="1"/>
  <c r="T30" i="145" a="1"/>
  <c r="T30" i="145" s="1"/>
  <c r="T35" i="145" a="1"/>
  <c r="T35" i="145" s="1"/>
  <c r="T31" i="145" a="1"/>
  <c r="T31" i="145" s="1"/>
  <c r="AJ26" i="249"/>
  <c r="AL26" i="249" s="1"/>
  <c r="AJ19" i="249"/>
  <c r="E33" i="144" l="1"/>
  <c r="F2" i="143" l="1"/>
  <c r="F266" i="28"/>
  <c r="E266" i="28"/>
  <c r="D266" i="28"/>
  <c r="C266" i="28"/>
  <c r="B266" i="28" s="1"/>
  <c r="F265" i="28"/>
  <c r="E265" i="28"/>
  <c r="D265" i="28"/>
  <c r="C265" i="28"/>
  <c r="B265" i="28" s="1"/>
  <c r="F264" i="28"/>
  <c r="E264" i="28"/>
  <c r="D264" i="28"/>
  <c r="C264" i="28"/>
  <c r="B264" i="28" s="1"/>
  <c r="C133" i="28"/>
  <c r="B133" i="28" s="1"/>
  <c r="P28" i="257" l="1"/>
  <c r="P28" i="258"/>
  <c r="P28" i="255"/>
  <c r="P28" i="256"/>
  <c r="P28" i="254"/>
  <c r="P28" i="253"/>
  <c r="P28" i="252"/>
  <c r="P28" i="251"/>
  <c r="P28" i="250"/>
  <c r="P28" i="249"/>
  <c r="P28" i="248"/>
  <c r="F28" i="258"/>
  <c r="F28" i="257"/>
  <c r="F28" i="255"/>
  <c r="F28" i="256"/>
  <c r="F28" i="253"/>
  <c r="F28" i="254"/>
  <c r="F28" i="252"/>
  <c r="F28" i="250"/>
  <c r="F28" i="251"/>
  <c r="F28" i="249"/>
  <c r="F28" i="248"/>
  <c r="W28" i="258"/>
  <c r="W28" i="257"/>
  <c r="W28" i="256"/>
  <c r="W28" i="255"/>
  <c r="W28" i="254"/>
  <c r="W28" i="253"/>
  <c r="W28" i="250"/>
  <c r="W28" i="251"/>
  <c r="W28" i="252"/>
  <c r="W28" i="249"/>
  <c r="W28" i="248"/>
  <c r="AL48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X12" i="138" s="1"/>
  <c r="G106" i="28"/>
  <c r="G105" i="28"/>
  <c r="G13" i="138" s="1"/>
  <c r="G104" i="28"/>
  <c r="G12" i="138" s="1"/>
  <c r="G103" i="28"/>
  <c r="S12" i="138" s="1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0" i="139" s="1"/>
  <c r="G45" i="28"/>
  <c r="M50" i="139" s="1"/>
  <c r="G44" i="28"/>
  <c r="B50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44" i="144"/>
  <c r="I33" i="144"/>
  <c r="E43" i="144"/>
  <c r="H33" i="144"/>
  <c r="F33" i="144"/>
  <c r="E40" i="144"/>
  <c r="E42" i="144"/>
  <c r="G33" i="144"/>
  <c r="E41" i="144"/>
  <c r="E35" i="144"/>
  <c r="E34" i="144"/>
  <c r="E36" i="144"/>
  <c r="E38" i="144"/>
  <c r="E39" i="144"/>
  <c r="E37" i="144"/>
  <c r="W28" i="135"/>
  <c r="P28" i="135"/>
  <c r="G18" i="135"/>
  <c r="F18" i="135"/>
  <c r="H16" i="135"/>
  <c r="G17" i="135"/>
  <c r="D22" i="135"/>
  <c r="O12" i="135"/>
  <c r="D48" i="135"/>
  <c r="D24" i="135"/>
  <c r="D25" i="135"/>
  <c r="G49" i="135"/>
  <c r="D50" i="135"/>
  <c r="F12" i="135"/>
  <c r="D28" i="135"/>
  <c r="D37" i="135"/>
  <c r="D51" i="135"/>
  <c r="D31" i="135"/>
  <c r="D59" i="135"/>
  <c r="D23" i="135"/>
  <c r="D26" i="135"/>
  <c r="D35" i="135"/>
  <c r="D36" i="135"/>
  <c r="F28" i="135"/>
  <c r="D38" i="135"/>
  <c r="D43" i="135"/>
  <c r="D46" i="135"/>
  <c r="D47" i="135"/>
  <c r="D33" i="135"/>
  <c r="D61" i="135"/>
  <c r="AF61" i="135"/>
  <c r="D27" i="135"/>
  <c r="D53" i="135"/>
  <c r="D18" i="135"/>
  <c r="D40" i="135"/>
  <c r="F53" i="135"/>
  <c r="D55" i="135"/>
  <c r="P12" i="135"/>
  <c r="P61" i="135"/>
  <c r="D17" i="135"/>
  <c r="D39" i="135"/>
  <c r="D20" i="135"/>
  <c r="D41" i="135"/>
  <c r="P53" i="135"/>
  <c r="D30" i="135"/>
  <c r="D44" i="135"/>
  <c r="D32" i="135"/>
  <c r="D10" i="135"/>
  <c r="D49" i="135"/>
  <c r="D34" i="135"/>
  <c r="D21" i="135"/>
  <c r="D29" i="135"/>
  <c r="D42" i="135"/>
  <c r="AD53" i="135"/>
  <c r="AF12" i="138"/>
  <c r="O13" i="138"/>
  <c r="O12" i="138"/>
  <c r="D9" i="135"/>
  <c r="D8" i="135"/>
  <c r="B65" i="138"/>
  <c r="D63" i="138"/>
  <c r="I42" i="144" l="1"/>
  <c r="G42" i="144"/>
  <c r="H42" i="144"/>
  <c r="G19" i="135"/>
  <c r="G36" i="144"/>
  <c r="I34" i="144"/>
  <c r="H35" i="144"/>
  <c r="I37" i="144"/>
  <c r="H40" i="144"/>
  <c r="I40" i="144"/>
  <c r="F41" i="144"/>
  <c r="G44" i="144"/>
  <c r="G43" i="144"/>
  <c r="G37" i="144"/>
  <c r="I41" i="144"/>
  <c r="F37" i="144"/>
  <c r="F35" i="144"/>
  <c r="I35" i="144"/>
  <c r="F38" i="144"/>
  <c r="H36" i="144"/>
  <c r="H44" i="144"/>
  <c r="I38" i="144"/>
  <c r="I36" i="144"/>
  <c r="F40" i="144"/>
  <c r="F44" i="144"/>
  <c r="J33" i="144"/>
  <c r="D33" i="144"/>
  <c r="G41" i="144"/>
  <c r="F34" i="144"/>
  <c r="H39" i="144"/>
  <c r="I44" i="144"/>
  <c r="F43" i="144"/>
  <c r="H34" i="144"/>
  <c r="H38" i="144"/>
  <c r="I39" i="144"/>
  <c r="H37" i="144"/>
  <c r="G38" i="144"/>
  <c r="G34" i="144"/>
  <c r="F42" i="144"/>
  <c r="G40" i="144"/>
  <c r="G35" i="144"/>
  <c r="F39" i="144"/>
  <c r="I43" i="144"/>
  <c r="F36" i="144"/>
  <c r="E45" i="144"/>
  <c r="E55" i="138" s="1"/>
  <c r="H41" i="144"/>
  <c r="H43" i="144"/>
  <c r="G39" i="144"/>
  <c r="F19" i="135"/>
  <c r="I16" i="135"/>
  <c r="H17" i="135"/>
  <c r="H14" i="135"/>
  <c r="AL24" i="135"/>
  <c r="J82" i="145" s="1"/>
  <c r="V82" i="145" s="1"/>
  <c r="AL25" i="135"/>
  <c r="J80" i="145" s="1"/>
  <c r="V80" i="145" s="1"/>
  <c r="AL23" i="135"/>
  <c r="J79" i="145" s="1"/>
  <c r="AL35" i="135"/>
  <c r="J161" i="145" s="1"/>
  <c r="AL36" i="135"/>
  <c r="J163" i="145" s="1"/>
  <c r="AL37" i="135"/>
  <c r="J189" i="145" s="1"/>
  <c r="AL38" i="135"/>
  <c r="AL39" i="135"/>
  <c r="AL40" i="135"/>
  <c r="AL41" i="135"/>
  <c r="J194" i="145" s="1"/>
  <c r="AL42" i="135"/>
  <c r="J195" i="145" s="1"/>
  <c r="AL43" i="135"/>
  <c r="J196" i="145" s="1"/>
  <c r="AL44" i="135"/>
  <c r="J197" i="145" s="1"/>
  <c r="AL46" i="135"/>
  <c r="J205" i="145" s="1"/>
  <c r="J94" i="145" s="1"/>
  <c r="AL47" i="135"/>
  <c r="J206" i="145" s="1"/>
  <c r="AL34" i="135"/>
  <c r="J181" i="145" s="1"/>
  <c r="J93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AH20" i="249" l="1" a="1"/>
  <c r="AH20" i="249" s="1"/>
  <c r="AB20" i="254" a="1"/>
  <c r="AB20" i="254" s="1"/>
  <c r="AD20" i="255" a="1"/>
  <c r="AD20" i="255" s="1"/>
  <c r="AI20" i="249" a="1"/>
  <c r="AI20" i="249" s="1"/>
  <c r="AJ20" i="255" a="1"/>
  <c r="AJ20" i="255" s="1"/>
  <c r="AF20" i="251" a="1"/>
  <c r="AF20" i="251" s="1"/>
  <c r="F20" i="258" a="1"/>
  <c r="F20" i="258" s="1"/>
  <c r="X20" i="252" a="1"/>
  <c r="X20" i="252" s="1"/>
  <c r="U49" i="145" a="1"/>
  <c r="U49" i="145" s="1"/>
  <c r="K49" i="145" a="1"/>
  <c r="K49" i="145" s="1"/>
  <c r="L49" i="145" a="1"/>
  <c r="L49" i="145" s="1"/>
  <c r="R49" i="145" a="1"/>
  <c r="R49" i="145" s="1"/>
  <c r="M49" i="145" a="1"/>
  <c r="M49" i="145" s="1"/>
  <c r="S49" i="145" a="1"/>
  <c r="S49" i="145" s="1"/>
  <c r="N49" i="145" a="1"/>
  <c r="N49" i="145" s="1"/>
  <c r="O49" i="145" a="1"/>
  <c r="O49" i="145" s="1"/>
  <c r="P49" i="145" a="1"/>
  <c r="P49" i="145" s="1"/>
  <c r="T49" i="145" a="1"/>
  <c r="T49" i="145" s="1"/>
  <c r="Q49" i="145" a="1"/>
  <c r="Q49" i="145" s="1"/>
  <c r="AG20" i="250" a="1"/>
  <c r="AG20" i="250" s="1"/>
  <c r="L20" i="254" a="1"/>
  <c r="L20" i="254" s="1"/>
  <c r="Q20" i="252" a="1"/>
  <c r="Q20" i="252" s="1"/>
  <c r="AI20" i="251" a="1"/>
  <c r="AI20" i="251" s="1"/>
  <c r="AA20" i="256" a="1"/>
  <c r="AA20" i="256" s="1"/>
  <c r="U20" i="256" a="1"/>
  <c r="U20" i="256" s="1"/>
  <c r="P20" i="255" a="1"/>
  <c r="P20" i="255" s="1"/>
  <c r="N20" i="252" a="1"/>
  <c r="N20" i="252" s="1"/>
  <c r="M20" i="251" a="1"/>
  <c r="M20" i="251" s="1"/>
  <c r="M20" i="257" a="1"/>
  <c r="M20" i="257" s="1"/>
  <c r="M20" i="248" a="1"/>
  <c r="M20" i="248" s="1"/>
  <c r="J20" i="257" a="1"/>
  <c r="J20" i="257" s="1"/>
  <c r="G20" i="251" a="1"/>
  <c r="G20" i="251" s="1"/>
  <c r="G20" i="257" a="1"/>
  <c r="G20" i="257" s="1"/>
  <c r="Q20" i="253" a="1"/>
  <c r="Q20" i="253" s="1"/>
  <c r="Z20" i="251" a="1"/>
  <c r="Z20" i="251" s="1"/>
  <c r="F20" i="249" a="1"/>
  <c r="F20" i="249" s="1"/>
  <c r="AG20" i="254" a="1"/>
  <c r="AG20" i="254" s="1"/>
  <c r="U20" i="254" a="1"/>
  <c r="U20" i="254" s="1"/>
  <c r="AF20" i="249" a="1"/>
  <c r="AF20" i="249" s="1"/>
  <c r="AF20" i="255" a="1"/>
  <c r="AF20" i="255" s="1"/>
  <c r="AF20" i="258" a="1"/>
  <c r="AF20" i="258" s="1"/>
  <c r="AB20" i="249" a="1"/>
  <c r="AB20" i="249" s="1"/>
  <c r="AA20" i="255" a="1"/>
  <c r="AA20" i="255" s="1"/>
  <c r="AF20" i="250" a="1"/>
  <c r="AF20" i="250" s="1"/>
  <c r="X20" i="256" a="1"/>
  <c r="X20" i="256" s="1"/>
  <c r="AC20" i="250" a="1"/>
  <c r="AC20" i="250" s="1"/>
  <c r="U20" i="252" a="1"/>
  <c r="U20" i="252" s="1"/>
  <c r="T20" i="256" a="1"/>
  <c r="T20" i="256" s="1"/>
  <c r="R20" i="252" a="1"/>
  <c r="R20" i="252" s="1"/>
  <c r="S20" i="257" a="1"/>
  <c r="S20" i="257" s="1"/>
  <c r="R20" i="258" a="1"/>
  <c r="R20" i="258" s="1"/>
  <c r="N20" i="255" a="1"/>
  <c r="N20" i="255" s="1"/>
  <c r="N20" i="253" a="1"/>
  <c r="N20" i="253" s="1"/>
  <c r="L20" i="253" a="1"/>
  <c r="L20" i="253" s="1"/>
  <c r="P20" i="250" a="1"/>
  <c r="P20" i="250" s="1"/>
  <c r="J20" i="258" a="1"/>
  <c r="J20" i="258" s="1"/>
  <c r="G20" i="249" a="1"/>
  <c r="G20" i="249" s="1"/>
  <c r="I20" i="250" a="1"/>
  <c r="I20" i="250" s="1"/>
  <c r="AD20" i="254" a="1"/>
  <c r="AD20" i="254" s="1"/>
  <c r="P20" i="258" a="1"/>
  <c r="P20" i="258" s="1"/>
  <c r="AD20" i="248" a="1"/>
  <c r="AD20" i="248" s="1"/>
  <c r="K20" i="256" a="1"/>
  <c r="K20" i="256" s="1"/>
  <c r="AE20" i="257" a="1"/>
  <c r="AE20" i="257" s="1"/>
  <c r="X20" i="254" a="1"/>
  <c r="X20" i="254" s="1"/>
  <c r="AI20" i="252" a="1"/>
  <c r="AI20" i="252" s="1"/>
  <c r="AG20" i="255" a="1"/>
  <c r="AG20" i="255" s="1"/>
  <c r="AF20" i="252" a="1"/>
  <c r="AF20" i="252" s="1"/>
  <c r="AD20" i="251" a="1"/>
  <c r="AD20" i="251" s="1"/>
  <c r="AF20" i="248" a="1"/>
  <c r="AF20" i="248" s="1"/>
  <c r="Z20" i="249" a="1"/>
  <c r="Z20" i="249" s="1"/>
  <c r="Y20" i="249" a="1"/>
  <c r="Y20" i="249" s="1"/>
  <c r="Y20" i="254" a="1"/>
  <c r="Y20" i="254" s="1"/>
  <c r="Y20" i="258" a="1"/>
  <c r="Y20" i="258" s="1"/>
  <c r="W20" i="257" a="1"/>
  <c r="W20" i="257" s="1"/>
  <c r="T20" i="255" a="1"/>
  <c r="T20" i="255" s="1"/>
  <c r="T20" i="257" a="1"/>
  <c r="T20" i="257" s="1"/>
  <c r="Q20" i="256" a="1"/>
  <c r="Q20" i="256" s="1"/>
  <c r="Q20" i="258" a="1"/>
  <c r="Q20" i="258" s="1"/>
  <c r="P20" i="257" a="1"/>
  <c r="P20" i="257" s="1"/>
  <c r="O20" i="258" a="1"/>
  <c r="O20" i="258" s="1"/>
  <c r="Q20" i="250" a="1"/>
  <c r="Q20" i="250" s="1"/>
  <c r="L20" i="257" a="1"/>
  <c r="L20" i="257" s="1"/>
  <c r="H20" i="256" a="1"/>
  <c r="H20" i="256" s="1"/>
  <c r="I20" i="258" a="1"/>
  <c r="I20" i="258" s="1"/>
  <c r="H20" i="257" a="1"/>
  <c r="H20" i="257" s="1"/>
  <c r="V20" i="258" a="1"/>
  <c r="V20" i="258" s="1"/>
  <c r="AI20" i="250" a="1"/>
  <c r="AI20" i="250" s="1"/>
  <c r="P20" i="248" a="1"/>
  <c r="P20" i="248" s="1"/>
  <c r="AH20" i="253" a="1"/>
  <c r="AH20" i="253" s="1"/>
  <c r="AA20" i="254" a="1"/>
  <c r="AA20" i="254" s="1"/>
  <c r="U20" i="258" a="1"/>
  <c r="U20" i="258" s="1"/>
  <c r="AJ20" i="254" a="1"/>
  <c r="AJ20" i="254" s="1"/>
  <c r="AI20" i="255" a="1"/>
  <c r="AI20" i="255" s="1"/>
  <c r="AG20" i="252" a="1"/>
  <c r="AG20" i="252" s="1"/>
  <c r="AD20" i="249" a="1"/>
  <c r="AD20" i="249" s="1"/>
  <c r="AD20" i="252" a="1"/>
  <c r="AD20" i="252" s="1"/>
  <c r="AA20" i="249" a="1"/>
  <c r="AA20" i="249" s="1"/>
  <c r="AC20" i="257" a="1"/>
  <c r="AC20" i="257" s="1"/>
  <c r="AC20" i="248" a="1"/>
  <c r="AC20" i="248" s="1"/>
  <c r="AD20" i="250" a="1"/>
  <c r="AD20" i="250" s="1"/>
  <c r="Z20" i="248" a="1"/>
  <c r="Z20" i="248" s="1"/>
  <c r="U20" i="255" a="1"/>
  <c r="U20" i="255" s="1"/>
  <c r="T20" i="252" a="1"/>
  <c r="T20" i="252" s="1"/>
  <c r="R20" i="255" a="1"/>
  <c r="R20" i="255" s="1"/>
  <c r="W20" i="250" a="1"/>
  <c r="W20" i="250" s="1"/>
  <c r="N20" i="249" a="1"/>
  <c r="N20" i="249" s="1"/>
  <c r="O20" i="254" a="1"/>
  <c r="O20" i="254" s="1"/>
  <c r="R20" i="250" a="1"/>
  <c r="R20" i="250" s="1"/>
  <c r="N20" i="248" a="1"/>
  <c r="N20" i="248" s="1"/>
  <c r="J20" i="255" a="1"/>
  <c r="J20" i="255" s="1"/>
  <c r="N20" i="250" a="1"/>
  <c r="N20" i="250" s="1"/>
  <c r="F20" i="250" a="1"/>
  <c r="F20" i="250" s="1"/>
  <c r="H20" i="248" a="1"/>
  <c r="H20" i="248" s="1"/>
  <c r="AJ20" i="257" a="1"/>
  <c r="AJ20" i="257" s="1"/>
  <c r="J20" i="256" a="1"/>
  <c r="J20" i="256" s="1"/>
  <c r="X20" i="255" a="1"/>
  <c r="X20" i="255" s="1"/>
  <c r="H20" i="255" a="1"/>
  <c r="H20" i="255" s="1"/>
  <c r="AF20" i="257" a="1"/>
  <c r="AF20" i="257" s="1"/>
  <c r="Y20" i="253" a="1"/>
  <c r="Y20" i="253" s="1"/>
  <c r="P20" i="249" a="1"/>
  <c r="P20" i="249" s="1"/>
  <c r="AI20" i="256" a="1"/>
  <c r="AI20" i="256" s="1"/>
  <c r="AG20" i="256" a="1"/>
  <c r="AG20" i="256" s="1"/>
  <c r="AF20" i="253" a="1"/>
  <c r="AF20" i="253" s="1"/>
  <c r="AC20" i="249" a="1"/>
  <c r="AC20" i="249" s="1"/>
  <c r="AD20" i="258" a="1"/>
  <c r="AD20" i="258" s="1"/>
  <c r="AA20" i="252" a="1"/>
  <c r="AA20" i="252" s="1"/>
  <c r="AB20" i="248" a="1"/>
  <c r="AB20" i="248" s="1"/>
  <c r="W20" i="249" a="1"/>
  <c r="W20" i="249" s="1"/>
  <c r="W20" i="256" a="1"/>
  <c r="W20" i="256" s="1"/>
  <c r="T20" i="249" a="1"/>
  <c r="T20" i="249" s="1"/>
  <c r="Z20" i="250" a="1"/>
  <c r="Z20" i="250" s="1"/>
  <c r="U20" i="248" a="1"/>
  <c r="U20" i="248" s="1"/>
  <c r="R20" i="254" a="1"/>
  <c r="R20" i="254" s="1"/>
  <c r="O20" i="252" a="1"/>
  <c r="O20" i="252" s="1"/>
  <c r="Q20" i="248" a="1"/>
  <c r="Q20" i="248" s="1"/>
  <c r="M20" i="253" a="1"/>
  <c r="M20" i="253" s="1"/>
  <c r="M20" i="258" a="1"/>
  <c r="M20" i="258" s="1"/>
  <c r="H20" i="249" a="1"/>
  <c r="H20" i="249" s="1"/>
  <c r="H20" i="251" a="1"/>
  <c r="H20" i="251" s="1"/>
  <c r="F20" i="253" a="1"/>
  <c r="F20" i="253" s="1"/>
  <c r="I20" i="248" a="1"/>
  <c r="I20" i="248" s="1"/>
  <c r="M20" i="256" a="1"/>
  <c r="M20" i="256" s="1"/>
  <c r="M20" i="249" a="1"/>
  <c r="M20" i="249" s="1"/>
  <c r="AI20" i="257" a="1"/>
  <c r="AI20" i="257" s="1"/>
  <c r="AG20" i="257" a="1"/>
  <c r="AG20" i="257" s="1"/>
  <c r="AE20" i="253" a="1"/>
  <c r="AE20" i="253" s="1"/>
  <c r="AC20" i="254" a="1"/>
  <c r="AC20" i="254" s="1"/>
  <c r="AA20" i="251" a="1"/>
  <c r="AA20" i="251" s="1"/>
  <c r="Y20" i="256" a="1"/>
  <c r="Y20" i="256" s="1"/>
  <c r="Z20" i="258" a="1"/>
  <c r="Z20" i="258" s="1"/>
  <c r="Y20" i="248" a="1"/>
  <c r="Y20" i="248" s="1"/>
  <c r="W20" i="258" a="1"/>
  <c r="W20" i="258" s="1"/>
  <c r="W20" i="248" a="1"/>
  <c r="W20" i="248" s="1"/>
  <c r="R20" i="256" a="1"/>
  <c r="R20" i="256" s="1"/>
  <c r="Q20" i="251" a="1"/>
  <c r="Q20" i="251" s="1"/>
  <c r="P20" i="254" a="1"/>
  <c r="P20" i="254" s="1"/>
  <c r="N20" i="251" a="1"/>
  <c r="N20" i="251" s="1"/>
  <c r="O20" i="248" a="1"/>
  <c r="O20" i="248" s="1"/>
  <c r="J20" i="249" a="1"/>
  <c r="J20" i="249" s="1"/>
  <c r="J20" i="253" a="1"/>
  <c r="J20" i="253" s="1"/>
  <c r="H20" i="252" a="1"/>
  <c r="H20" i="252" s="1"/>
  <c r="G20" i="256" a="1"/>
  <c r="G20" i="256" s="1"/>
  <c r="L20" i="250" a="1"/>
  <c r="L20" i="250" s="1"/>
  <c r="S20" i="252" a="1"/>
  <c r="S20" i="252" s="1"/>
  <c r="AG20" i="248" a="1"/>
  <c r="AG20" i="248" s="1"/>
  <c r="J20" i="252" a="1"/>
  <c r="J20" i="252" s="1"/>
  <c r="AJ20" i="253" a="1"/>
  <c r="AJ20" i="253" s="1"/>
  <c r="AI20" i="253" a="1"/>
  <c r="AI20" i="253" s="1"/>
  <c r="AG20" i="251" a="1"/>
  <c r="AG20" i="251" s="1"/>
  <c r="AE20" i="252" a="1"/>
  <c r="AE20" i="252" s="1"/>
  <c r="AJ20" i="250" a="1"/>
  <c r="AJ20" i="250" s="1"/>
  <c r="AB20" i="252" a="1"/>
  <c r="AB20" i="252" s="1"/>
  <c r="AB20" i="253" a="1"/>
  <c r="AB20" i="253" s="1"/>
  <c r="Z20" i="254" a="1"/>
  <c r="Z20" i="254" s="1"/>
  <c r="Z20" i="257" a="1"/>
  <c r="Z20" i="257" s="1"/>
  <c r="V20" i="256" a="1"/>
  <c r="V20" i="256" s="1"/>
  <c r="V20" i="253" a="1"/>
  <c r="V20" i="253" s="1"/>
  <c r="V20" i="248" a="1"/>
  <c r="V20" i="248" s="1"/>
  <c r="X20" i="250" a="1"/>
  <c r="X20" i="250" s="1"/>
  <c r="S20" i="258" a="1"/>
  <c r="S20" i="258" s="1"/>
  <c r="P20" i="253" a="1"/>
  <c r="P20" i="253" s="1"/>
  <c r="N20" i="256" a="1"/>
  <c r="N20" i="256" s="1"/>
  <c r="N20" i="257" a="1"/>
  <c r="N20" i="257" s="1"/>
  <c r="K20" i="251" a="1"/>
  <c r="K20" i="251" s="1"/>
  <c r="L20" i="248" a="1"/>
  <c r="L20" i="248" s="1"/>
  <c r="I20" i="253" a="1"/>
  <c r="I20" i="253" s="1"/>
  <c r="H20" i="250" a="1"/>
  <c r="H20" i="250" s="1"/>
  <c r="F20" i="257" a="1"/>
  <c r="F20" i="257" s="1"/>
  <c r="W20" i="251" a="1"/>
  <c r="W20" i="251" s="1"/>
  <c r="AF20" i="256" a="1"/>
  <c r="AF20" i="256" s="1"/>
  <c r="F20" i="248" a="1"/>
  <c r="F20" i="248" s="1"/>
  <c r="AH20" i="255" a="1"/>
  <c r="AH20" i="255" s="1"/>
  <c r="AJ20" i="248" a="1"/>
  <c r="AJ20" i="248" s="1"/>
  <c r="AE20" i="256" a="1"/>
  <c r="AE20" i="256" s="1"/>
  <c r="AD20" i="256" a="1"/>
  <c r="AD20" i="256" s="1"/>
  <c r="AH20" i="250" a="1"/>
  <c r="AH20" i="250" s="1"/>
  <c r="AC20" i="258" a="1"/>
  <c r="AC20" i="258" s="1"/>
  <c r="AA20" i="257" a="1"/>
  <c r="AA20" i="257" s="1"/>
  <c r="AA20" i="248" a="1"/>
  <c r="AA20" i="248" s="1"/>
  <c r="U20" i="249" a="1"/>
  <c r="U20" i="249" s="1"/>
  <c r="V20" i="254" a="1"/>
  <c r="V20" i="254" s="1"/>
  <c r="T20" i="253" a="1"/>
  <c r="T20" i="253" s="1"/>
  <c r="Q20" i="249" a="1"/>
  <c r="Q20" i="249" s="1"/>
  <c r="P20" i="251" a="1"/>
  <c r="P20" i="251" s="1"/>
  <c r="O20" i="251" a="1"/>
  <c r="O20" i="251" s="1"/>
  <c r="T20" i="250" a="1"/>
  <c r="T20" i="250" s="1"/>
  <c r="L20" i="255" a="1"/>
  <c r="L20" i="255" s="1"/>
  <c r="K20" i="252" a="1"/>
  <c r="K20" i="252" s="1"/>
  <c r="J20" i="254" a="1"/>
  <c r="J20" i="254" s="1"/>
  <c r="I20" i="254" a="1"/>
  <c r="I20" i="254" s="1"/>
  <c r="H20" i="254" a="1"/>
  <c r="H20" i="254" s="1"/>
  <c r="G20" i="250" a="1"/>
  <c r="G20" i="250" s="1"/>
  <c r="V20" i="251" a="1"/>
  <c r="V20" i="251" s="1"/>
  <c r="AA20" i="250" a="1"/>
  <c r="AA20" i="250" s="1"/>
  <c r="S20" i="251" a="1"/>
  <c r="S20" i="251" s="1"/>
  <c r="R20" i="251" a="1"/>
  <c r="R20" i="251" s="1"/>
  <c r="S20" i="248" a="1"/>
  <c r="S20" i="248" s="1"/>
  <c r="R20" i="248" a="1"/>
  <c r="R20" i="248" s="1"/>
  <c r="L20" i="249" a="1"/>
  <c r="L20" i="249" s="1"/>
  <c r="M20" i="254" a="1"/>
  <c r="M20" i="254" s="1"/>
  <c r="K20" i="255" a="1"/>
  <c r="K20" i="255" s="1"/>
  <c r="I20" i="256" a="1"/>
  <c r="I20" i="256" s="1"/>
  <c r="K20" i="248" a="1"/>
  <c r="K20" i="248" s="1"/>
  <c r="J20" i="250" a="1"/>
  <c r="J20" i="250" s="1"/>
  <c r="F20" i="254" a="1"/>
  <c r="F20" i="254" s="1"/>
  <c r="H20" i="253" a="1"/>
  <c r="H20" i="253" s="1"/>
  <c r="X20" i="258" a="1"/>
  <c r="X20" i="258" s="1"/>
  <c r="AI20" i="258" a="1"/>
  <c r="AI20" i="258" s="1"/>
  <c r="Z20" i="253" a="1"/>
  <c r="Z20" i="253" s="1"/>
  <c r="AJ20" i="249" a="1"/>
  <c r="AJ20" i="249" s="1"/>
  <c r="AH20" i="256" a="1"/>
  <c r="AH20" i="256" s="1"/>
  <c r="AH20" i="257" a="1"/>
  <c r="AH20" i="257" s="1"/>
  <c r="AF20" i="254" a="1"/>
  <c r="AF20" i="254" s="1"/>
  <c r="AC20" i="251" a="1"/>
  <c r="AC20" i="251" s="1"/>
  <c r="AE20" i="248" a="1"/>
  <c r="AE20" i="248" s="1"/>
  <c r="AB20" i="258" a="1"/>
  <c r="AB20" i="258" s="1"/>
  <c r="Y20" i="252" a="1"/>
  <c r="Y20" i="252" s="1"/>
  <c r="X20" i="251" a="1"/>
  <c r="X20" i="251" s="1"/>
  <c r="V20" i="255" a="1"/>
  <c r="V20" i="255" s="1"/>
  <c r="U20" i="251" a="1"/>
  <c r="U20" i="251" s="1"/>
  <c r="S20" i="256" a="1"/>
  <c r="S20" i="256" s="1"/>
  <c r="T20" i="258" a="1"/>
  <c r="T20" i="258" s="1"/>
  <c r="P20" i="252" a="1"/>
  <c r="P20" i="252" s="1"/>
  <c r="U20" i="250" a="1"/>
  <c r="U20" i="250" s="1"/>
  <c r="O20" i="257" a="1"/>
  <c r="O20" i="257" s="1"/>
  <c r="L20" i="256" a="1"/>
  <c r="L20" i="256" s="1"/>
  <c r="L20" i="258" a="1"/>
  <c r="L20" i="258" s="1"/>
  <c r="I20" i="251" a="1"/>
  <c r="I20" i="251" s="1"/>
  <c r="M20" i="250" a="1"/>
  <c r="M20" i="250" s="1"/>
  <c r="F20" i="252" a="1"/>
  <c r="F20" i="252" s="1"/>
  <c r="K20" i="250" a="1"/>
  <c r="K20" i="250" s="1"/>
  <c r="AA20" i="258" a="1"/>
  <c r="AA20" i="258" s="1"/>
  <c r="F20" i="256" a="1"/>
  <c r="F20" i="256" s="1"/>
  <c r="Y20" i="250" a="1"/>
  <c r="Y20" i="250" s="1"/>
  <c r="AC20" i="255" a="1"/>
  <c r="AC20" i="255" s="1"/>
  <c r="AI20" i="254" a="1"/>
  <c r="AI20" i="254" s="1"/>
  <c r="AG20" i="253" a="1"/>
  <c r="AG20" i="253" s="1"/>
  <c r="AG20" i="258" a="1"/>
  <c r="AG20" i="258" s="1"/>
  <c r="AC20" i="252" a="1"/>
  <c r="AC20" i="252" s="1"/>
  <c r="AD20" i="257" a="1"/>
  <c r="AD20" i="257" s="1"/>
  <c r="Z20" i="255" a="1"/>
  <c r="Z20" i="255" s="1"/>
  <c r="Y20" i="251" a="1"/>
  <c r="Y20" i="251" s="1"/>
  <c r="V20" i="249" a="1"/>
  <c r="V20" i="249" s="1"/>
  <c r="W20" i="254" a="1"/>
  <c r="W20" i="254" s="1"/>
  <c r="X20" i="248" a="1"/>
  <c r="X20" i="248" s="1"/>
  <c r="T20" i="254" a="1"/>
  <c r="T20" i="254" s="1"/>
  <c r="S20" i="253" a="1"/>
  <c r="S20" i="253" s="1"/>
  <c r="R20" i="257" a="1"/>
  <c r="R20" i="257" s="1"/>
  <c r="O20" i="256" a="1"/>
  <c r="O20" i="256" s="1"/>
  <c r="S20" i="250" a="1"/>
  <c r="S20" i="250" s="1"/>
  <c r="L20" i="252" a="1"/>
  <c r="L20" i="252" s="1"/>
  <c r="J20" i="251" a="1"/>
  <c r="J20" i="251" s="1"/>
  <c r="O20" i="250" a="1"/>
  <c r="O20" i="250" s="1"/>
  <c r="G20" i="252" a="1"/>
  <c r="G20" i="252" s="1"/>
  <c r="G20" i="248" a="1"/>
  <c r="G20" i="248" s="1"/>
  <c r="Q20" i="255" a="1"/>
  <c r="Q20" i="255" s="1"/>
  <c r="AH20" i="254" a="1"/>
  <c r="AH20" i="254" s="1"/>
  <c r="Q20" i="254" a="1"/>
  <c r="Q20" i="254" s="1"/>
  <c r="AH20" i="248" a="1"/>
  <c r="AH20" i="248" s="1"/>
  <c r="AJ20" i="251" a="1"/>
  <c r="AJ20" i="251" s="1"/>
  <c r="AJ20" i="256" a="1"/>
  <c r="AJ20" i="256" s="1"/>
  <c r="AJ20" i="258" a="1"/>
  <c r="AJ20" i="258" s="1"/>
  <c r="AH20" i="258" a="1"/>
  <c r="AH20" i="258" s="1"/>
  <c r="AE20" i="251" a="1"/>
  <c r="AE20" i="251" s="1"/>
  <c r="AC20" i="256" a="1"/>
  <c r="AC20" i="256" s="1"/>
  <c r="AB20" i="256" a="1"/>
  <c r="AB20" i="256" s="1"/>
  <c r="Z20" i="252" a="1"/>
  <c r="Z20" i="252" s="1"/>
  <c r="X20" i="249" a="1"/>
  <c r="X20" i="249" s="1"/>
  <c r="W20" i="252" a="1"/>
  <c r="W20" i="252" s="1"/>
  <c r="V20" i="252" a="1"/>
  <c r="V20" i="252" s="1"/>
  <c r="V20" i="257" a="1"/>
  <c r="V20" i="257" s="1"/>
  <c r="U20" i="257" a="1"/>
  <c r="U20" i="257" s="1"/>
  <c r="S20" i="254" a="1"/>
  <c r="S20" i="254" s="1"/>
  <c r="O20" i="249" a="1"/>
  <c r="O20" i="249" s="1"/>
  <c r="Q20" i="257" a="1"/>
  <c r="Q20" i="257" s="1"/>
  <c r="M20" i="252" a="1"/>
  <c r="M20" i="252" s="1"/>
  <c r="N20" i="258" a="1"/>
  <c r="N20" i="258" s="1"/>
  <c r="I20" i="249" a="1"/>
  <c r="I20" i="249" s="1"/>
  <c r="K20" i="257" a="1"/>
  <c r="K20" i="257" s="1"/>
  <c r="I20" i="257" a="1"/>
  <c r="I20" i="257" s="1"/>
  <c r="G20" i="254" a="1"/>
  <c r="G20" i="254" s="1"/>
  <c r="G20" i="258" a="1"/>
  <c r="G20" i="258" s="1"/>
  <c r="AB20" i="257" a="1"/>
  <c r="AB20" i="257" s="1"/>
  <c r="I20" i="252" a="1"/>
  <c r="I20" i="252" s="1"/>
  <c r="W20" i="255" a="1"/>
  <c r="W20" i="255" s="1"/>
  <c r="AB20" i="255" a="1"/>
  <c r="AB20" i="255" s="1"/>
  <c r="AJ20" i="252" a="1"/>
  <c r="AJ20" i="252" s="1"/>
  <c r="AG20" i="249" a="1"/>
  <c r="AG20" i="249" s="1"/>
  <c r="AE20" i="249" a="1"/>
  <c r="AE20" i="249" s="1"/>
  <c r="AE20" i="255" a="1"/>
  <c r="AE20" i="255" s="1"/>
  <c r="AD20" i="253" a="1"/>
  <c r="AD20" i="253" s="1"/>
  <c r="AC20" i="253" a="1"/>
  <c r="AC20" i="253" s="1"/>
  <c r="Z20" i="256" a="1"/>
  <c r="Z20" i="256" s="1"/>
  <c r="AE20" i="250" a="1"/>
  <c r="AE20" i="250" s="1"/>
  <c r="Y20" i="257" a="1"/>
  <c r="Y20" i="257" s="1"/>
  <c r="AB20" i="250" a="1"/>
  <c r="AB20" i="250" s="1"/>
  <c r="U20" i="253" a="1"/>
  <c r="U20" i="253" s="1"/>
  <c r="R20" i="249" a="1"/>
  <c r="R20" i="249" s="1"/>
  <c r="T20" i="248" a="1"/>
  <c r="T20" i="248" s="1"/>
  <c r="P20" i="256" a="1"/>
  <c r="P20" i="256" s="1"/>
  <c r="O20" i="255" a="1"/>
  <c r="O20" i="255" s="1"/>
  <c r="N20" i="254" a="1"/>
  <c r="N20" i="254" s="1"/>
  <c r="K20" i="249" a="1"/>
  <c r="K20" i="249" s="1"/>
  <c r="K20" i="253" a="1"/>
  <c r="K20" i="253" s="1"/>
  <c r="K20" i="258" a="1"/>
  <c r="K20" i="258" s="1"/>
  <c r="G20" i="255" a="1"/>
  <c r="G20" i="255" s="1"/>
  <c r="F20" i="255" a="1"/>
  <c r="F20" i="255" s="1"/>
  <c r="F20" i="251" a="1"/>
  <c r="F20" i="251" s="1"/>
  <c r="X20" i="257" a="1"/>
  <c r="X20" i="257" s="1"/>
  <c r="T20" i="251" a="1"/>
  <c r="T20" i="251" s="1"/>
  <c r="AH20" i="251" a="1"/>
  <c r="AH20" i="251" s="1"/>
  <c r="AH20" i="252" a="1"/>
  <c r="AH20" i="252" s="1"/>
  <c r="AI20" i="248" a="1"/>
  <c r="AI20" i="248" s="1"/>
  <c r="AE20" i="254" a="1"/>
  <c r="AE20" i="254" s="1"/>
  <c r="AE20" i="258" a="1"/>
  <c r="AE20" i="258" s="1"/>
  <c r="AB20" i="251" a="1"/>
  <c r="AB20" i="251" s="1"/>
  <c r="AA20" i="253" a="1"/>
  <c r="AA20" i="253" s="1"/>
  <c r="Y20" i="255" a="1"/>
  <c r="Y20" i="255" s="1"/>
  <c r="X20" i="253" a="1"/>
  <c r="X20" i="253" s="1"/>
  <c r="W20" i="253" a="1"/>
  <c r="W20" i="253" s="1"/>
  <c r="S20" i="249" a="1"/>
  <c r="S20" i="249" s="1"/>
  <c r="S20" i="255" a="1"/>
  <c r="S20" i="255" s="1"/>
  <c r="R20" i="253" a="1"/>
  <c r="R20" i="253" s="1"/>
  <c r="V20" i="250" a="1"/>
  <c r="V20" i="250" s="1"/>
  <c r="O20" i="253" a="1"/>
  <c r="O20" i="253" s="1"/>
  <c r="M20" i="255" a="1"/>
  <c r="M20" i="255" s="1"/>
  <c r="L20" i="251" a="1"/>
  <c r="L20" i="251" s="1"/>
  <c r="K20" i="254" a="1"/>
  <c r="K20" i="254" s="1"/>
  <c r="I20" i="255" a="1"/>
  <c r="I20" i="255" s="1"/>
  <c r="J20" i="248" a="1"/>
  <c r="J20" i="248" s="1"/>
  <c r="H20" i="258" a="1"/>
  <c r="H20" i="258" s="1"/>
  <c r="G20" i="253" a="1"/>
  <c r="G20" i="253" s="1"/>
  <c r="V197" i="145"/>
  <c r="H23" i="139"/>
  <c r="J47" i="145"/>
  <c r="J192" i="145"/>
  <c r="H20" i="139" s="1"/>
  <c r="J81" i="145"/>
  <c r="V79" i="145"/>
  <c r="J190" i="145"/>
  <c r="J193" i="145"/>
  <c r="H21" i="139" s="1"/>
  <c r="D42" i="144"/>
  <c r="S47" i="145" s="1"/>
  <c r="D35" i="144"/>
  <c r="L47" i="145" s="1"/>
  <c r="D37" i="144"/>
  <c r="N47" i="145" s="1"/>
  <c r="G45" i="144"/>
  <c r="I55" i="138" s="1"/>
  <c r="J40" i="144"/>
  <c r="O50" i="138" s="1"/>
  <c r="I45" i="144"/>
  <c r="M55" i="138" s="1"/>
  <c r="D40" i="144"/>
  <c r="Q47" i="145" s="1"/>
  <c r="J35" i="144"/>
  <c r="O45" i="138" s="1"/>
  <c r="D39" i="144"/>
  <c r="P47" i="145" s="1"/>
  <c r="D43" i="144"/>
  <c r="T47" i="145" s="1"/>
  <c r="D41" i="144"/>
  <c r="R47" i="145" s="1"/>
  <c r="J38" i="144"/>
  <c r="O48" i="138" s="1"/>
  <c r="J36" i="144"/>
  <c r="O46" i="138" s="1"/>
  <c r="D36" i="144"/>
  <c r="M47" i="145" s="1"/>
  <c r="J44" i="144"/>
  <c r="O54" i="138" s="1"/>
  <c r="D44" i="144"/>
  <c r="U47" i="145" s="1"/>
  <c r="D38" i="144"/>
  <c r="O47" i="145" s="1"/>
  <c r="J39" i="144"/>
  <c r="O49" i="138" s="1"/>
  <c r="J43" i="144"/>
  <c r="O53" i="138" s="1"/>
  <c r="J41" i="144"/>
  <c r="O51" i="138" s="1"/>
  <c r="H45" i="144"/>
  <c r="K55" i="138" s="1"/>
  <c r="J34" i="144"/>
  <c r="O44" i="138" s="1"/>
  <c r="J37" i="144"/>
  <c r="O47" i="138" s="1"/>
  <c r="F45" i="144"/>
  <c r="G55" i="138" s="1"/>
  <c r="D34" i="144"/>
  <c r="K47" i="145" s="1"/>
  <c r="J42" i="144"/>
  <c r="O52" i="138" s="1"/>
  <c r="C43" i="138"/>
  <c r="O43" i="138"/>
  <c r="H35" i="139"/>
  <c r="H17" i="139"/>
  <c r="V181" i="145"/>
  <c r="AF15" i="139" s="1"/>
  <c r="H18" i="135"/>
  <c r="J16" i="135"/>
  <c r="I17" i="135"/>
  <c r="I14" i="135"/>
  <c r="H15" i="139"/>
  <c r="H33" i="139"/>
  <c r="V163" i="145"/>
  <c r="AF33" i="139" s="1"/>
  <c r="P28" i="139"/>
  <c r="X28" i="139"/>
  <c r="V28" i="139"/>
  <c r="R28" i="139"/>
  <c r="N28" i="139"/>
  <c r="J28" i="139"/>
  <c r="L28" i="139"/>
  <c r="T28" i="139"/>
  <c r="H26" i="139"/>
  <c r="H25" i="139"/>
  <c r="H22" i="139"/>
  <c r="AF9" i="139"/>
  <c r="H9" i="139"/>
  <c r="V205" i="145"/>
  <c r="AF35" i="139" s="1"/>
  <c r="H2" i="143"/>
  <c r="I2" i="143" s="1"/>
  <c r="D10" i="143" s="1"/>
  <c r="F10" i="143" s="1"/>
  <c r="AM19" i="258" l="1"/>
  <c r="F9" i="250" a="1"/>
  <c r="F9" i="250" s="1"/>
  <c r="AN51" i="258" a="1"/>
  <c r="AN51" i="258" s="1"/>
  <c r="F9" i="251" a="1"/>
  <c r="F9" i="251" s="1"/>
  <c r="F9" i="258" a="1"/>
  <c r="F9" i="258" s="1"/>
  <c r="AM19" i="248"/>
  <c r="AM19" i="250"/>
  <c r="AN51" i="248" a="1"/>
  <c r="AN51" i="248" s="1"/>
  <c r="AN51" i="257" a="1"/>
  <c r="AN51" i="257" s="1"/>
  <c r="AN51" i="250" a="1"/>
  <c r="AN51" i="250" s="1"/>
  <c r="AM19" i="256"/>
  <c r="AM19" i="257"/>
  <c r="F9" i="252" a="1"/>
  <c r="F9" i="252" s="1"/>
  <c r="AN51" i="252" a="1"/>
  <c r="AN51" i="252" s="1"/>
  <c r="AM19" i="253"/>
  <c r="AN51" i="251" a="1"/>
  <c r="AN51" i="251" s="1"/>
  <c r="AM19" i="251"/>
  <c r="AM19" i="252"/>
  <c r="AN51" i="253" a="1"/>
  <c r="AN51" i="253" s="1"/>
  <c r="AM19" i="255"/>
  <c r="F9" i="253" a="1"/>
  <c r="F9" i="253" s="1"/>
  <c r="F9" i="254" a="1"/>
  <c r="F9" i="254" s="1"/>
  <c r="F9" i="255" a="1"/>
  <c r="F9" i="255" s="1"/>
  <c r="AN51" i="254" a="1"/>
  <c r="AN51" i="254" s="1"/>
  <c r="AN51" i="255" a="1"/>
  <c r="AN51" i="255" s="1"/>
  <c r="AN51" i="249" a="1"/>
  <c r="AN51" i="249" s="1"/>
  <c r="AN51" i="256" a="1"/>
  <c r="AN51" i="256" s="1"/>
  <c r="AM19" i="249"/>
  <c r="F9" i="248" a="1"/>
  <c r="F9" i="248" s="1"/>
  <c r="F9" i="257" a="1"/>
  <c r="F9" i="257" s="1"/>
  <c r="F9" i="249" a="1"/>
  <c r="F9" i="249" s="1"/>
  <c r="F9" i="256" a="1"/>
  <c r="F9" i="256" s="1"/>
  <c r="AM19" i="254"/>
  <c r="V190" i="145"/>
  <c r="AF18" i="139" s="1"/>
  <c r="J199" i="145"/>
  <c r="J95" i="145" s="1"/>
  <c r="V193" i="145"/>
  <c r="AF21" i="139" s="1"/>
  <c r="V192" i="145"/>
  <c r="AF20" i="139" s="1"/>
  <c r="C52" i="138"/>
  <c r="C45" i="138"/>
  <c r="J83" i="145"/>
  <c r="V81" i="145"/>
  <c r="V47" i="145"/>
  <c r="C47" i="138"/>
  <c r="C50" i="138"/>
  <c r="C49" i="138"/>
  <c r="C53" i="138"/>
  <c r="J45" i="144"/>
  <c r="O55" i="138" s="1"/>
  <c r="C51" i="138"/>
  <c r="C48" i="138"/>
  <c r="C44" i="138"/>
  <c r="C46" i="138"/>
  <c r="C54" i="138"/>
  <c r="D45" i="144"/>
  <c r="C55" i="138" s="1"/>
  <c r="H18" i="139"/>
  <c r="H19" i="135"/>
  <c r="I18" i="135"/>
  <c r="K16" i="135"/>
  <c r="J17" i="135"/>
  <c r="J14" i="135"/>
  <c r="H10" i="139"/>
  <c r="V206" i="145"/>
  <c r="AF36" i="139" s="1"/>
  <c r="H36" i="139"/>
  <c r="H28" i="139"/>
  <c r="H30" i="139" s="1"/>
  <c r="J30" i="139" s="1"/>
  <c r="L30" i="139" s="1"/>
  <c r="N30" i="139" s="1"/>
  <c r="P30" i="139" s="1"/>
  <c r="R30" i="139" s="1"/>
  <c r="T30" i="139" s="1"/>
  <c r="V30" i="139" s="1"/>
  <c r="X30" i="139" s="1"/>
  <c r="V161" i="145"/>
  <c r="AF23" i="139"/>
  <c r="V194" i="145"/>
  <c r="AF22" i="139" s="1"/>
  <c r="V195" i="145"/>
  <c r="AF25" i="139" s="1"/>
  <c r="V196" i="145"/>
  <c r="AF26" i="139" s="1"/>
  <c r="V189" i="145"/>
  <c r="AF17" i="139" s="1"/>
  <c r="D11" i="143"/>
  <c r="D12" i="143" s="1"/>
  <c r="J10" i="143"/>
  <c r="G10" i="143"/>
  <c r="E10" i="143"/>
  <c r="I10" i="143"/>
  <c r="H10" i="143"/>
  <c r="V23" i="140"/>
  <c r="V22" i="140"/>
  <c r="G26" i="135"/>
  <c r="H26" i="135"/>
  <c r="I26" i="135"/>
  <c r="J26" i="135"/>
  <c r="K26" i="135"/>
  <c r="L26" i="135"/>
  <c r="M26" i="135"/>
  <c r="N26" i="135"/>
  <c r="O26" i="135"/>
  <c r="P26" i="135"/>
  <c r="Q26" i="135"/>
  <c r="R26" i="135"/>
  <c r="S26" i="135"/>
  <c r="T26" i="135"/>
  <c r="U26" i="135"/>
  <c r="V26" i="135"/>
  <c r="W26" i="135"/>
  <c r="X26" i="135"/>
  <c r="Y26" i="135"/>
  <c r="Z26" i="135"/>
  <c r="AA26" i="135"/>
  <c r="AB26" i="135"/>
  <c r="AC26" i="135"/>
  <c r="AD26" i="135"/>
  <c r="AE26" i="135"/>
  <c r="AF26" i="135"/>
  <c r="AG26" i="135"/>
  <c r="F26" i="135"/>
  <c r="AM20" i="253" l="1"/>
  <c r="P50" i="145" s="1"/>
  <c r="P230" i="145"/>
  <c r="P60" i="145"/>
  <c r="AI5" i="252"/>
  <c r="Q48" i="145"/>
  <c r="AM20" i="257"/>
  <c r="L50" i="145" s="1"/>
  <c r="L60" i="145"/>
  <c r="L230" i="145"/>
  <c r="AI5" i="256"/>
  <c r="M48" i="145"/>
  <c r="AM20" i="256"/>
  <c r="M50" i="145" s="1"/>
  <c r="M230" i="145"/>
  <c r="M60" i="145"/>
  <c r="AI5" i="249"/>
  <c r="T48" i="145"/>
  <c r="AI5" i="250"/>
  <c r="S48" i="145"/>
  <c r="AI5" i="257"/>
  <c r="L48" i="145"/>
  <c r="AI5" i="251"/>
  <c r="R48" i="145"/>
  <c r="AM20" i="249"/>
  <c r="T50" i="145" s="1"/>
  <c r="T230" i="145"/>
  <c r="T60" i="145"/>
  <c r="AI5" i="248"/>
  <c r="U48" i="145"/>
  <c r="AM20" i="250"/>
  <c r="S50" i="145" s="1"/>
  <c r="S230" i="145"/>
  <c r="S60" i="145"/>
  <c r="AM20" i="248"/>
  <c r="U50" i="145" s="1"/>
  <c r="U230" i="145"/>
  <c r="U60" i="145"/>
  <c r="AI5" i="255"/>
  <c r="N48" i="145"/>
  <c r="AI5" i="254"/>
  <c r="O48" i="145"/>
  <c r="AI5" i="258"/>
  <c r="K48" i="145"/>
  <c r="AM20" i="255"/>
  <c r="N50" i="145" s="1"/>
  <c r="N230" i="145"/>
  <c r="N60" i="145"/>
  <c r="AM20" i="252"/>
  <c r="Q50" i="145" s="1"/>
  <c r="Q230" i="145"/>
  <c r="Q60" i="145"/>
  <c r="AI5" i="253"/>
  <c r="P48" i="145"/>
  <c r="AM20" i="254"/>
  <c r="O50" i="145" s="1"/>
  <c r="O230" i="145"/>
  <c r="O60" i="145"/>
  <c r="AM20" i="251"/>
  <c r="R50" i="145" s="1"/>
  <c r="R230" i="145"/>
  <c r="R60" i="145"/>
  <c r="AM20" i="258"/>
  <c r="K50" i="145" s="1"/>
  <c r="K60" i="145"/>
  <c r="K230" i="145"/>
  <c r="J3" i="258"/>
  <c r="J3" i="256"/>
  <c r="J3" i="257"/>
  <c r="J3" i="254"/>
  <c r="J3" i="255"/>
  <c r="J3" i="253"/>
  <c r="J3" i="252"/>
  <c r="J3" i="251"/>
  <c r="J3" i="250"/>
  <c r="J3" i="248"/>
  <c r="J3" i="249"/>
  <c r="Z30" i="139"/>
  <c r="W10" i="143" a="1"/>
  <c r="W10" i="143" s="1"/>
  <c r="V10" i="143" a="1"/>
  <c r="V10" i="143" s="1"/>
  <c r="U10" i="143" a="1"/>
  <c r="U10" i="143" s="1"/>
  <c r="J90" i="145"/>
  <c r="V83" i="145"/>
  <c r="I19" i="135"/>
  <c r="J18" i="135"/>
  <c r="AF10" i="139"/>
  <c r="L16" i="135"/>
  <c r="K17" i="135"/>
  <c r="K14" i="135"/>
  <c r="V199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3" i="140"/>
  <c r="G30" i="140"/>
  <c r="G22" i="140" s="1"/>
  <c r="F8" i="140"/>
  <c r="J3" i="143" s="1"/>
  <c r="Y6" i="135"/>
  <c r="W11" i="143" l="1" a="1"/>
  <c r="W11" i="143" s="1"/>
  <c r="V11" i="143" a="1"/>
  <c r="V11" i="143" s="1"/>
  <c r="U11" i="143" a="1"/>
  <c r="U11" i="143" s="1"/>
  <c r="J19" i="135"/>
  <c r="J27" i="135" a="1"/>
  <c r="J27" i="135" s="1"/>
  <c r="K18" i="135"/>
  <c r="M16" i="135"/>
  <c r="L17" i="135"/>
  <c r="L14" i="135"/>
  <c r="Z10" i="143"/>
  <c r="X10" i="143"/>
  <c r="N11" i="143"/>
  <c r="O11" i="143" s="1"/>
  <c r="Q11" i="143" a="1"/>
  <c r="Q11" i="143" s="1"/>
  <c r="K11" i="143" a="1"/>
  <c r="K11" i="143" s="1"/>
  <c r="F13" i="143"/>
  <c r="J13" i="143"/>
  <c r="G35" i="140"/>
  <c r="G20" i="140" s="1"/>
  <c r="K20" i="135" s="1" a="1"/>
  <c r="K20" i="135" s="1"/>
  <c r="V28" i="140"/>
  <c r="V20" i="140" s="1"/>
  <c r="D14" i="143"/>
  <c r="E12" i="143"/>
  <c r="I12" i="143"/>
  <c r="H12" i="143"/>
  <c r="G12" i="143"/>
  <c r="V8" i="140"/>
  <c r="J3" i="135" l="1"/>
  <c r="Z27" i="139"/>
  <c r="O22" i="144"/>
  <c r="H24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AA11" i="143"/>
  <c r="L18" i="135"/>
  <c r="Q12" i="143" a="1"/>
  <c r="Q12" i="143" s="1"/>
  <c r="L20" i="135" a="1"/>
  <c r="L20" i="135" s="1"/>
  <c r="N16" i="135"/>
  <c r="M17" i="135"/>
  <c r="M14" i="135"/>
  <c r="X11" i="143"/>
  <c r="H22" i="144"/>
  <c r="H23" i="144"/>
  <c r="H21" i="144"/>
  <c r="K33" i="144"/>
  <c r="K40" i="144"/>
  <c r="K44" i="144"/>
  <c r="Q54" i="138" s="1"/>
  <c r="K39" i="144"/>
  <c r="K34" i="144"/>
  <c r="K38" i="144"/>
  <c r="K42" i="144"/>
  <c r="K36" i="144"/>
  <c r="K35" i="144"/>
  <c r="K37" i="144"/>
  <c r="K41" i="144"/>
  <c r="K43" i="144"/>
  <c r="Z11" i="143"/>
  <c r="AA10" i="143"/>
  <c r="Y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AB13" i="138" a="1"/>
  <c r="AB13" i="138" l="1"/>
  <c r="I179" i="145" s="1"/>
  <c r="D6" i="257"/>
  <c r="D6" i="255"/>
  <c r="D6" i="256"/>
  <c r="D6" i="250"/>
  <c r="D6" i="254"/>
  <c r="D6" i="253"/>
  <c r="D6" i="252"/>
  <c r="D6" i="251"/>
  <c r="D6" i="249"/>
  <c r="D6" i="248"/>
  <c r="D6" i="258"/>
  <c r="AN38" i="258" a="1"/>
  <c r="AN38" i="258" s="1"/>
  <c r="AN41" i="258" a="1"/>
  <c r="AN41" i="258" s="1"/>
  <c r="AN44" i="258" a="1"/>
  <c r="AN44" i="258" s="1"/>
  <c r="AN46" i="257" a="1"/>
  <c r="AN46" i="257" s="1"/>
  <c r="AN39" i="257" a="1"/>
  <c r="AN39" i="257" s="1"/>
  <c r="AN34" i="258" a="1"/>
  <c r="AN34" i="258" s="1"/>
  <c r="AN37" i="258" a="1"/>
  <c r="AN37" i="258" s="1"/>
  <c r="AN47" i="258" a="1"/>
  <c r="AN47" i="258" s="1"/>
  <c r="AN40" i="258" a="1"/>
  <c r="AN40" i="258" s="1"/>
  <c r="AN35" i="257" a="1"/>
  <c r="AN35" i="257" s="1"/>
  <c r="AN43" i="258" a="1"/>
  <c r="AN43" i="258" s="1"/>
  <c r="AN38" i="257" a="1"/>
  <c r="AN38" i="257" s="1"/>
  <c r="AN41" i="257" a="1"/>
  <c r="AN41" i="257" s="1"/>
  <c r="AN36" i="258" a="1"/>
  <c r="AN36" i="258" s="1"/>
  <c r="AN46" i="258" a="1"/>
  <c r="AN46" i="258" s="1"/>
  <c r="AN39" i="258" a="1"/>
  <c r="AN39" i="258" s="1"/>
  <c r="AN43" i="257" a="1"/>
  <c r="AN43" i="257" s="1"/>
  <c r="AN42" i="257" a="1"/>
  <c r="AN42" i="257" s="1"/>
  <c r="AN41" i="255" a="1"/>
  <c r="AN41" i="255" s="1"/>
  <c r="AN47" i="256" a="1"/>
  <c r="AN47" i="256" s="1"/>
  <c r="AN43" i="256" a="1"/>
  <c r="AN43" i="256" s="1"/>
  <c r="AN36" i="256" a="1"/>
  <c r="AN36" i="256" s="1"/>
  <c r="AN42" i="258" a="1"/>
  <c r="AN42" i="258" s="1"/>
  <c r="AN38" i="256" a="1"/>
  <c r="AN38" i="256" s="1"/>
  <c r="AN35" i="258" a="1"/>
  <c r="AN35" i="258" s="1"/>
  <c r="AN46" i="255" a="1"/>
  <c r="AN46" i="255" s="1"/>
  <c r="AN39" i="255" a="1"/>
  <c r="AN39" i="255" s="1"/>
  <c r="AN34" i="254" a="1"/>
  <c r="AN34" i="254" s="1"/>
  <c r="AN36" i="255" a="1"/>
  <c r="AN36" i="255" s="1"/>
  <c r="AN37" i="254" a="1"/>
  <c r="AN37" i="254" s="1"/>
  <c r="AN40" i="255" a="1"/>
  <c r="AN40" i="255" s="1"/>
  <c r="AN41" i="256" a="1"/>
  <c r="AN41" i="256" s="1"/>
  <c r="AN40" i="253" a="1"/>
  <c r="AN40" i="253" s="1"/>
  <c r="AN42" i="254" a="1"/>
  <c r="AN42" i="254" s="1"/>
  <c r="AN47" i="253" a="1"/>
  <c r="AN47" i="253" s="1"/>
  <c r="AN37" i="257" a="1"/>
  <c r="AN37" i="257" s="1"/>
  <c r="AN43" i="253" a="1"/>
  <c r="AN43" i="253" s="1"/>
  <c r="AN41" i="254" a="1"/>
  <c r="AN41" i="254" s="1"/>
  <c r="AN39" i="253" a="1"/>
  <c r="AN39" i="253" s="1"/>
  <c r="AN41" i="252" a="1"/>
  <c r="AN41" i="252" s="1"/>
  <c r="AN46" i="253" a="1"/>
  <c r="AN46" i="253" s="1"/>
  <c r="AN42" i="253" a="1"/>
  <c r="AN42" i="253" s="1"/>
  <c r="AN34" i="252" a="1"/>
  <c r="AN34" i="252" s="1"/>
  <c r="AN46" i="252" a="1"/>
  <c r="AN46" i="252" s="1"/>
  <c r="AN46" i="251" a="1"/>
  <c r="AN46" i="251" s="1"/>
  <c r="AN39" i="251" a="1"/>
  <c r="AN39" i="251" s="1"/>
  <c r="AN44" i="254" a="1"/>
  <c r="AN44" i="254" s="1"/>
  <c r="AN44" i="252" a="1"/>
  <c r="AN44" i="252" s="1"/>
  <c r="AN36" i="252" a="1"/>
  <c r="AN36" i="252" s="1"/>
  <c r="AN41" i="251" a="1"/>
  <c r="AN41" i="251" s="1"/>
  <c r="AN46" i="250" a="1"/>
  <c r="AN46" i="250" s="1"/>
  <c r="AN39" i="250" a="1"/>
  <c r="AN39" i="250" s="1"/>
  <c r="AN42" i="250" a="1"/>
  <c r="AN42" i="250" s="1"/>
  <c r="AN37" i="249" a="1"/>
  <c r="AN37" i="249" s="1"/>
  <c r="AN34" i="251" a="1"/>
  <c r="AN34" i="251" s="1"/>
  <c r="AN38" i="250" a="1"/>
  <c r="AN38" i="250" s="1"/>
  <c r="AN39" i="252" a="1"/>
  <c r="AN39" i="252" s="1"/>
  <c r="AN34" i="250" a="1"/>
  <c r="AN34" i="250" s="1"/>
  <c r="AN37" i="250" a="1"/>
  <c r="AN37" i="250" s="1"/>
  <c r="AN37" i="251" a="1"/>
  <c r="AN37" i="251" s="1"/>
  <c r="AN41" i="249" a="1"/>
  <c r="AN41" i="249" s="1"/>
  <c r="AN36" i="248" a="1"/>
  <c r="AN36" i="248" s="1"/>
  <c r="AN41" i="250" a="1"/>
  <c r="AN41" i="250" s="1"/>
  <c r="AN41" i="248" a="1"/>
  <c r="AN41" i="248" s="1"/>
  <c r="AN44" i="248" a="1"/>
  <c r="AN44" i="248" s="1"/>
  <c r="AN34" i="249" a="1"/>
  <c r="AN34" i="249" s="1"/>
  <c r="AN40" i="249" a="1"/>
  <c r="AN40" i="249" s="1"/>
  <c r="AN38" i="248" a="1"/>
  <c r="AN38" i="248" s="1"/>
  <c r="AN35" i="251" a="1"/>
  <c r="AN35" i="251" s="1"/>
  <c r="AN42" i="256" a="1"/>
  <c r="AN42" i="256" s="1"/>
  <c r="AN44" i="257" a="1"/>
  <c r="AN44" i="257" s="1"/>
  <c r="AN34" i="248" a="1"/>
  <c r="AN34" i="248" s="1"/>
  <c r="AN35" i="250" a="1"/>
  <c r="AN35" i="250" s="1"/>
  <c r="AN40" i="250" a="1"/>
  <c r="AN40" i="250" s="1"/>
  <c r="AN47" i="251" a="1"/>
  <c r="AN47" i="251" s="1"/>
  <c r="AN37" i="252" a="1"/>
  <c r="AN37" i="252" s="1"/>
  <c r="AN43" i="255" a="1"/>
  <c r="AN43" i="255" s="1"/>
  <c r="AN43" i="248" a="1"/>
  <c r="AN43" i="248" s="1"/>
  <c r="AN47" i="250" a="1"/>
  <c r="AN47" i="250" s="1"/>
  <c r="AN38" i="253" a="1"/>
  <c r="AN38" i="253" s="1"/>
  <c r="AN35" i="256" a="1"/>
  <c r="AN35" i="256" s="1"/>
  <c r="AN36" i="249" a="1"/>
  <c r="AN36" i="249" s="1"/>
  <c r="AN36" i="250" a="1"/>
  <c r="AN36" i="250" s="1"/>
  <c r="AN44" i="253" a="1"/>
  <c r="AN44" i="253" s="1"/>
  <c r="AN34" i="255" a="1"/>
  <c r="AN34" i="255" s="1"/>
  <c r="AN38" i="255" a="1"/>
  <c r="AN38" i="255" s="1"/>
  <c r="AN47" i="257" a="1"/>
  <c r="AN47" i="257" s="1"/>
  <c r="AN43" i="250" a="1"/>
  <c r="AN43" i="250" s="1"/>
  <c r="AN42" i="255" a="1"/>
  <c r="AN42" i="255" s="1"/>
  <c r="AN46" i="256" a="1"/>
  <c r="AN46" i="256" s="1"/>
  <c r="AN34" i="256" a="1"/>
  <c r="AN34" i="256" s="1"/>
  <c r="AN38" i="249" a="1"/>
  <c r="AN38" i="249" s="1"/>
  <c r="AN43" i="251" a="1"/>
  <c r="AN43" i="251" s="1"/>
  <c r="AN43" i="254" a="1"/>
  <c r="AN43" i="254" s="1"/>
  <c r="AN37" i="248" a="1"/>
  <c r="AN37" i="248" s="1"/>
  <c r="AN44" i="250" a="1"/>
  <c r="AN44" i="250" s="1"/>
  <c r="AN40" i="257" a="1"/>
  <c r="AN40" i="257" s="1"/>
  <c r="AN39" i="256" a="1"/>
  <c r="AN39" i="256" s="1"/>
  <c r="AN47" i="249" a="1"/>
  <c r="AN47" i="249" s="1"/>
  <c r="AN38" i="252" a="1"/>
  <c r="AN38" i="252" s="1"/>
  <c r="AN42" i="252" a="1"/>
  <c r="AN42" i="252" s="1"/>
  <c r="AN34" i="253" a="1"/>
  <c r="AN34" i="253" s="1"/>
  <c r="AN43" i="249" a="1"/>
  <c r="AN43" i="249" s="1"/>
  <c r="AN46" i="249" a="1"/>
  <c r="AN46" i="249" s="1"/>
  <c r="AN36" i="251" a="1"/>
  <c r="AN36" i="251" s="1"/>
  <c r="AN44" i="255" a="1"/>
  <c r="AN44" i="255" s="1"/>
  <c r="AN36" i="257" a="1"/>
  <c r="AN36" i="257" s="1"/>
  <c r="AN46" i="248" a="1"/>
  <c r="AN46" i="248" s="1"/>
  <c r="AN41" i="253" a="1"/>
  <c r="AN41" i="253" s="1"/>
  <c r="AN46" i="254" a="1"/>
  <c r="AN46" i="254" s="1"/>
  <c r="AN35" i="248" a="1"/>
  <c r="AN35" i="248" s="1"/>
  <c r="AN39" i="249" a="1"/>
  <c r="AN39" i="249" s="1"/>
  <c r="AN38" i="251" a="1"/>
  <c r="AN38" i="251" s="1"/>
  <c r="AN35" i="252" a="1"/>
  <c r="AN35" i="252" s="1"/>
  <c r="AN35" i="254" a="1"/>
  <c r="AN35" i="254" s="1"/>
  <c r="AN40" i="256" a="1"/>
  <c r="AN40" i="256" s="1"/>
  <c r="AN39" i="248" a="1"/>
  <c r="AN39" i="248" s="1"/>
  <c r="AN44" i="249" a="1"/>
  <c r="AN44" i="249" s="1"/>
  <c r="AN44" i="251" a="1"/>
  <c r="AN44" i="251" s="1"/>
  <c r="AN40" i="252" a="1"/>
  <c r="AN40" i="252" s="1"/>
  <c r="AN43" i="252" a="1"/>
  <c r="AN43" i="252" s="1"/>
  <c r="AN39" i="254" a="1"/>
  <c r="AN39" i="254" s="1"/>
  <c r="AN35" i="255" a="1"/>
  <c r="AN35" i="255" s="1"/>
  <c r="AN47" i="248" a="1"/>
  <c r="AN47" i="248" s="1"/>
  <c r="AN42" i="251" a="1"/>
  <c r="AN42" i="251" s="1"/>
  <c r="AN38" i="254" a="1"/>
  <c r="AN38" i="254" s="1"/>
  <c r="AN40" i="251" a="1"/>
  <c r="AN40" i="251" s="1"/>
  <c r="AN36" i="254" a="1"/>
  <c r="AN36" i="254" s="1"/>
  <c r="AN40" i="248" a="1"/>
  <c r="AN40" i="248" s="1"/>
  <c r="AN42" i="248" a="1"/>
  <c r="AN42" i="248" s="1"/>
  <c r="AN35" i="249" a="1"/>
  <c r="AN35" i="249" s="1"/>
  <c r="AN40" i="254" a="1"/>
  <c r="AN40" i="254" s="1"/>
  <c r="AN37" i="255" a="1"/>
  <c r="AN37" i="255" s="1"/>
  <c r="AN37" i="256" a="1"/>
  <c r="AN37" i="256" s="1"/>
  <c r="AN42" i="249" a="1"/>
  <c r="AN42" i="249" s="1"/>
  <c r="AN47" i="252" a="1"/>
  <c r="AN47" i="252" s="1"/>
  <c r="AN36" i="253" a="1"/>
  <c r="AN36" i="253" s="1"/>
  <c r="AN35" i="253" a="1"/>
  <c r="AN35" i="253" s="1"/>
  <c r="AN47" i="255" a="1"/>
  <c r="AN47" i="255" s="1"/>
  <c r="AN44" i="256" a="1"/>
  <c r="AN44" i="256" s="1"/>
  <c r="AN37" i="253" a="1"/>
  <c r="AN37" i="253" s="1"/>
  <c r="AN47" i="254" a="1"/>
  <c r="AN47" i="254" s="1"/>
  <c r="AN34" i="257" a="1"/>
  <c r="AN34" i="257" s="1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A12" i="143"/>
  <c r="I182" i="145"/>
  <c r="J182" i="145" s="1"/>
  <c r="K182" i="145" s="1"/>
  <c r="L182" i="145" s="1"/>
  <c r="M182" i="145" s="1"/>
  <c r="N182" i="145" s="1"/>
  <c r="O182" i="145" s="1"/>
  <c r="P182" i="145" s="1"/>
  <c r="Q182" i="145" s="1"/>
  <c r="R182" i="145" s="1"/>
  <c r="S182" i="145" s="1"/>
  <c r="T182" i="145" s="1"/>
  <c r="U182" i="145" s="1"/>
  <c r="W182" i="145" s="1"/>
  <c r="V179" i="145"/>
  <c r="AN47" i="135" a="1"/>
  <c r="AN47" i="135" s="1"/>
  <c r="AN39" i="135" a="1"/>
  <c r="AN39" i="135" s="1"/>
  <c r="AN43" i="135" a="1"/>
  <c r="AN43" i="135" s="1"/>
  <c r="AN41" i="135" a="1"/>
  <c r="AN41" i="135" s="1"/>
  <c r="AN36" i="135" a="1"/>
  <c r="AN36" i="135" s="1"/>
  <c r="AN44" i="135" a="1"/>
  <c r="AN44" i="135" s="1"/>
  <c r="AN40" i="135" a="1"/>
  <c r="AN40" i="135" s="1"/>
  <c r="AN35" i="135" a="1"/>
  <c r="AN35" i="135" s="1"/>
  <c r="AN42" i="135" a="1"/>
  <c r="AN42" i="135" s="1"/>
  <c r="AN46" i="135" a="1"/>
  <c r="AN46" i="135" s="1"/>
  <c r="AN38" i="135" a="1"/>
  <c r="AN38" i="135" s="1"/>
  <c r="AN37" i="135" a="1"/>
  <c r="AN37" i="135" s="1"/>
  <c r="AN34" i="135" a="1"/>
  <c r="AN34" i="135" s="1"/>
  <c r="M18" i="135"/>
  <c r="M20" i="135" a="1"/>
  <c r="M20" i="135" s="1"/>
  <c r="O16" i="135"/>
  <c r="N17" i="135"/>
  <c r="N14" i="135"/>
  <c r="X12" i="143"/>
  <c r="Q43" i="138"/>
  <c r="K45" i="144"/>
  <c r="Q55" i="138" s="1"/>
  <c r="Z12" i="143"/>
  <c r="AB11" i="143"/>
  <c r="AC11" i="143" s="1"/>
  <c r="Y12" i="143"/>
  <c r="O3" i="143"/>
  <c r="P10" i="143"/>
  <c r="P12" i="143"/>
  <c r="R12" i="143" s="1"/>
  <c r="P11" i="143"/>
  <c r="R11" i="143" s="1"/>
  <c r="Q13" i="143" a="1"/>
  <c r="Q13" i="143" s="1"/>
  <c r="N13" i="143"/>
  <c r="K13" i="143" a="1"/>
  <c r="K13" i="143" s="1"/>
  <c r="D6" i="135"/>
  <c r="J15" i="143"/>
  <c r="D16" i="143"/>
  <c r="F15" i="143"/>
  <c r="G14" i="143"/>
  <c r="H14" i="143"/>
  <c r="I14" i="143"/>
  <c r="E14" i="143"/>
  <c r="AN48" i="257" l="1"/>
  <c r="AN48" i="256"/>
  <c r="AN48" i="252"/>
  <c r="AN48" i="254"/>
  <c r="AN48" i="250"/>
  <c r="AN48" i="248"/>
  <c r="AN48" i="251"/>
  <c r="AN48" i="253"/>
  <c r="AN48" i="258"/>
  <c r="AN48" i="255"/>
  <c r="AN48" i="249"/>
  <c r="R229" i="145"/>
  <c r="R59" i="145"/>
  <c r="L59" i="145"/>
  <c r="L229" i="145"/>
  <c r="L35" i="144"/>
  <c r="Q59" i="145"/>
  <c r="Q229" i="145"/>
  <c r="L34" i="144"/>
  <c r="L44" i="144"/>
  <c r="N59" i="145"/>
  <c r="N229" i="145"/>
  <c r="L38" i="144"/>
  <c r="L43" i="144"/>
  <c r="T59" i="145"/>
  <c r="T229" i="145"/>
  <c r="O229" i="145"/>
  <c r="O59" i="145"/>
  <c r="L39" i="144"/>
  <c r="L41" i="144"/>
  <c r="P59" i="145"/>
  <c r="P229" i="145"/>
  <c r="K59" i="145"/>
  <c r="K229" i="145"/>
  <c r="L42" i="144"/>
  <c r="L36" i="144"/>
  <c r="U59" i="145"/>
  <c r="U229" i="145"/>
  <c r="L37" i="144"/>
  <c r="M229" i="145"/>
  <c r="M59" i="145"/>
  <c r="S229" i="145"/>
  <c r="S59" i="145"/>
  <c r="L40" i="144"/>
  <c r="N40" i="139"/>
  <c r="T40" i="139" s="1"/>
  <c r="W180" i="145"/>
  <c r="AB3" i="258" s="1"/>
  <c r="W14" i="143" a="1"/>
  <c r="W14" i="143" s="1"/>
  <c r="V14" i="143" a="1"/>
  <c r="V14" i="143" s="1"/>
  <c r="U14" i="143" a="1"/>
  <c r="U14" i="143" s="1"/>
  <c r="M19" i="135"/>
  <c r="AN48" i="135"/>
  <c r="N18" i="135"/>
  <c r="N19" i="135" s="1"/>
  <c r="AA13" i="143"/>
  <c r="N20" i="135" a="1"/>
  <c r="N20" i="135" s="1"/>
  <c r="P16" i="135"/>
  <c r="O17" i="135"/>
  <c r="O14" i="135"/>
  <c r="AB12" i="143"/>
  <c r="AC12" i="143" s="1"/>
  <c r="X13" i="143"/>
  <c r="Z13" i="143"/>
  <c r="Y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AB3" i="248" l="1"/>
  <c r="AB3" i="251"/>
  <c r="AB3" i="249"/>
  <c r="AB3" i="250"/>
  <c r="AB3" i="253"/>
  <c r="AB3" i="252"/>
  <c r="AB3" i="254"/>
  <c r="AB3" i="255"/>
  <c r="AB3" i="257"/>
  <c r="AB3" i="256"/>
  <c r="AB3" i="135"/>
  <c r="P51" i="145"/>
  <c r="T7" i="139"/>
  <c r="M39" i="144"/>
  <c r="AB8" i="139"/>
  <c r="T61" i="145"/>
  <c r="T231" i="145"/>
  <c r="Q51" i="145"/>
  <c r="M40" i="144"/>
  <c r="V7" i="139"/>
  <c r="M51" i="145"/>
  <c r="N7" i="139"/>
  <c r="M36" i="144"/>
  <c r="R231" i="145"/>
  <c r="R61" i="145"/>
  <c r="X8" i="139"/>
  <c r="N8" i="139"/>
  <c r="M61" i="145"/>
  <c r="M231" i="145"/>
  <c r="L61" i="145"/>
  <c r="L231" i="145"/>
  <c r="L8" i="139"/>
  <c r="U51" i="145"/>
  <c r="AD7" i="139"/>
  <c r="M44" i="144"/>
  <c r="O61" i="145"/>
  <c r="O231" i="145"/>
  <c r="R8" i="139"/>
  <c r="Z8" i="139"/>
  <c r="S61" i="145"/>
  <c r="S231" i="145"/>
  <c r="T8" i="139"/>
  <c r="P231" i="145"/>
  <c r="P61" i="145"/>
  <c r="AD8" i="139"/>
  <c r="U61" i="145"/>
  <c r="U231" i="145"/>
  <c r="P8" i="139"/>
  <c r="N61" i="145"/>
  <c r="N231" i="145"/>
  <c r="K51" i="145"/>
  <c r="J7" i="139"/>
  <c r="M34" i="144"/>
  <c r="N51" i="145"/>
  <c r="P7" i="139"/>
  <c r="M37" i="144"/>
  <c r="L51" i="145"/>
  <c r="L7" i="139"/>
  <c r="M35" i="144"/>
  <c r="S51" i="145"/>
  <c r="Z7" i="139"/>
  <c r="M42" i="144"/>
  <c r="O51" i="145"/>
  <c r="M38" i="144"/>
  <c r="R7" i="139"/>
  <c r="V8" i="139"/>
  <c r="Q231" i="145"/>
  <c r="Q61" i="145"/>
  <c r="J8" i="139"/>
  <c r="K61" i="145"/>
  <c r="K231" i="145"/>
  <c r="T51" i="145"/>
  <c r="M43" i="144"/>
  <c r="AB7" i="139"/>
  <c r="R51" i="145"/>
  <c r="X7" i="139"/>
  <c r="M41" i="144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Z14" i="143"/>
  <c r="AB13" i="143"/>
  <c r="AC13" i="143" s="1"/>
  <c r="X14" i="143"/>
  <c r="Y14" i="143"/>
  <c r="AA14" i="143"/>
  <c r="AL19" i="135"/>
  <c r="Y10" i="143"/>
  <c r="AB10" i="143" s="1"/>
  <c r="AC10" i="143" s="1"/>
  <c r="P14" i="143"/>
  <c r="O14" i="143"/>
  <c r="Q15" i="143" a="1"/>
  <c r="Q15" i="143" s="1"/>
  <c r="N15" i="143"/>
  <c r="K15" i="143" a="1"/>
  <c r="K15" i="143" s="1"/>
  <c r="AL18" i="135"/>
  <c r="J17" i="143"/>
  <c r="D18" i="143"/>
  <c r="F17" i="143"/>
  <c r="G16" i="143"/>
  <c r="H16" i="143"/>
  <c r="I16" i="143"/>
  <c r="E16" i="143"/>
  <c r="N34" i="144" l="1"/>
  <c r="S44" i="138"/>
  <c r="S46" i="138"/>
  <c r="N36" i="144"/>
  <c r="S48" i="138"/>
  <c r="N38" i="144"/>
  <c r="S51" i="138"/>
  <c r="N41" i="144"/>
  <c r="S52" i="138"/>
  <c r="N42" i="144"/>
  <c r="S54" i="138"/>
  <c r="N44" i="144"/>
  <c r="S50" i="138"/>
  <c r="N40" i="144"/>
  <c r="S45" i="138"/>
  <c r="N35" i="144"/>
  <c r="S53" i="138"/>
  <c r="N43" i="144"/>
  <c r="S49" i="138"/>
  <c r="N39" i="144"/>
  <c r="S47" i="138"/>
  <c r="N37" i="144"/>
  <c r="U16" i="143" a="1"/>
  <c r="U16" i="143" s="1"/>
  <c r="W16" i="143" a="1"/>
  <c r="W16" i="143" s="1"/>
  <c r="V16" i="143" a="1"/>
  <c r="V16" i="143" s="1"/>
  <c r="J27" i="145"/>
  <c r="J28" i="145"/>
  <c r="AA15" i="143"/>
  <c r="P18" i="135"/>
  <c r="P20" i="135" a="1"/>
  <c r="P20" i="135" s="1"/>
  <c r="R16" i="135"/>
  <c r="Q17" i="135"/>
  <c r="Q14" i="135"/>
  <c r="F15" i="135"/>
  <c r="Z15" i="143"/>
  <c r="X15" i="143"/>
  <c r="AB14" i="143"/>
  <c r="AC14" i="143" s="1"/>
  <c r="AM51" i="135"/>
  <c r="AM18" i="135"/>
  <c r="J37" i="145" s="1"/>
  <c r="J229" i="145" s="1"/>
  <c r="Y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W17" i="143" l="1" a="1"/>
  <c r="W17" i="143" s="1"/>
  <c r="V17" i="143" a="1"/>
  <c r="V17" i="143" s="1"/>
  <c r="U17" i="143" a="1"/>
  <c r="U17" i="143" s="1"/>
  <c r="J59" i="145"/>
  <c r="V28" i="145"/>
  <c r="V27" i="145"/>
  <c r="AN51" i="135" a="1"/>
  <c r="AN51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B15" i="143"/>
  <c r="AC15" i="143" s="1"/>
  <c r="Z16" i="143"/>
  <c r="X16" i="143"/>
  <c r="AA16" i="143" s="1"/>
  <c r="V37" i="145"/>
  <c r="V229" i="145" s="1"/>
  <c r="Y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W18" i="143" l="1" a="1"/>
  <c r="W18" i="143" s="1"/>
  <c r="V18" i="143" a="1"/>
  <c r="V18" i="143" s="1"/>
  <c r="U18" i="143" a="1"/>
  <c r="U18" i="143" s="1"/>
  <c r="Q27" i="135" a="1"/>
  <c r="Q27" i="135" s="1"/>
  <c r="V59" i="145"/>
  <c r="J51" i="145"/>
  <c r="V48" i="145"/>
  <c r="AI5" i="135"/>
  <c r="H7" i="139"/>
  <c r="M33" i="144"/>
  <c r="R18" i="135"/>
  <c r="R19" i="135" s="1"/>
  <c r="R20" i="135" a="1"/>
  <c r="R20" i="135" s="1"/>
  <c r="T16" i="135"/>
  <c r="S17" i="135"/>
  <c r="S14" i="135"/>
  <c r="H15" i="135"/>
  <c r="Z17" i="143"/>
  <c r="X17" i="143"/>
  <c r="AA17" i="143" s="1"/>
  <c r="AB16" i="143"/>
  <c r="AC16" i="143" s="1"/>
  <c r="Y17" i="143"/>
  <c r="P17" i="143"/>
  <c r="R17" i="143" s="1"/>
  <c r="O17" i="143"/>
  <c r="R16" i="143"/>
  <c r="Q18" i="143" a="1"/>
  <c r="Q18" i="143" s="1"/>
  <c r="N18" i="143"/>
  <c r="K18" i="143" a="1"/>
  <c r="K18" i="143" s="1"/>
  <c r="J20" i="143"/>
  <c r="D21" i="143"/>
  <c r="F20" i="143"/>
  <c r="I19" i="143"/>
  <c r="E19" i="143"/>
  <c r="H19" i="143"/>
  <c r="G19" i="143"/>
  <c r="W19" i="143" l="1" a="1"/>
  <c r="W19" i="143" s="1"/>
  <c r="V19" i="143" a="1"/>
  <c r="V19" i="143" s="1"/>
  <c r="U19" i="143" a="1"/>
  <c r="U19" i="143" s="1"/>
  <c r="W51" i="145"/>
  <c r="V51" i="145"/>
  <c r="S43" i="138"/>
  <c r="N33" i="144"/>
  <c r="S18" i="135"/>
  <c r="S19" i="135" s="1"/>
  <c r="S20" i="135" a="1"/>
  <c r="S20" i="135" s="1"/>
  <c r="U16" i="135"/>
  <c r="T17" i="135"/>
  <c r="T14" i="135"/>
  <c r="I15" i="135"/>
  <c r="AB17" i="143"/>
  <c r="AC17" i="143" s="1"/>
  <c r="X18" i="143"/>
  <c r="AA18" i="143" s="1"/>
  <c r="Z18" i="143"/>
  <c r="P18" i="143"/>
  <c r="R18" i="143" s="1"/>
  <c r="Y18" i="143" s="1"/>
  <c r="O18" i="143"/>
  <c r="Q19" i="143" a="1"/>
  <c r="Q19" i="143" s="1"/>
  <c r="N19" i="143"/>
  <c r="K19" i="143" a="1"/>
  <c r="K19" i="143" s="1"/>
  <c r="J21" i="143"/>
  <c r="D22" i="143"/>
  <c r="F21" i="143"/>
  <c r="H20" i="143"/>
  <c r="E20" i="143"/>
  <c r="G20" i="143"/>
  <c r="I20" i="143"/>
  <c r="AO17" i="258" l="1" a="1"/>
  <c r="AO17" i="258" s="1"/>
  <c r="AO17" i="257" a="1"/>
  <c r="AO17" i="257" s="1"/>
  <c r="AO17" i="255" a="1"/>
  <c r="AO17" i="255" s="1"/>
  <c r="AO17" i="256" a="1"/>
  <c r="AO17" i="256" s="1"/>
  <c r="AO17" i="253" a="1"/>
  <c r="AO17" i="253" s="1"/>
  <c r="AO17" i="254" a="1"/>
  <c r="AO17" i="254" s="1"/>
  <c r="AO17" i="252" a="1"/>
  <c r="AO17" i="252" s="1"/>
  <c r="AO17" i="251" a="1"/>
  <c r="AO17" i="251" s="1"/>
  <c r="AO17" i="249" a="1"/>
  <c r="AO17" i="249" s="1"/>
  <c r="AO17" i="250" a="1"/>
  <c r="AO17" i="250" s="1"/>
  <c r="AO17" i="248" a="1"/>
  <c r="AO17" i="248" s="1"/>
  <c r="W20" i="143" a="1"/>
  <c r="W20" i="143" s="1"/>
  <c r="V20" i="143" a="1"/>
  <c r="V20" i="143" s="1"/>
  <c r="U20" i="143" a="1"/>
  <c r="U20" i="143" s="1"/>
  <c r="T18" i="135"/>
  <c r="AB18" i="143"/>
  <c r="AC18" i="143" s="1"/>
  <c r="T20" i="135" a="1"/>
  <c r="T20" i="135" s="1"/>
  <c r="V16" i="135"/>
  <c r="U17" i="135"/>
  <c r="U14" i="135"/>
  <c r="J15" i="135"/>
  <c r="X19" i="143"/>
  <c r="AA19" i="143" s="1"/>
  <c r="Z19" i="143"/>
  <c r="P19" i="143"/>
  <c r="R19" i="143" s="1"/>
  <c r="Y19" i="143" s="1"/>
  <c r="O19" i="143"/>
  <c r="Q20" i="143" a="1"/>
  <c r="Q20" i="143" s="1"/>
  <c r="N20" i="143"/>
  <c r="K20" i="143" a="1"/>
  <c r="K20" i="143" s="1"/>
  <c r="J22" i="143"/>
  <c r="D23" i="143"/>
  <c r="F22" i="143"/>
  <c r="G21" i="143"/>
  <c r="I21" i="143"/>
  <c r="H21" i="143"/>
  <c r="E21" i="143"/>
  <c r="X30" i="248" l="1" a="1"/>
  <c r="X30" i="248" s="1"/>
  <c r="P30" i="248" a="1"/>
  <c r="P30" i="248" s="1"/>
  <c r="H30" i="248" a="1"/>
  <c r="H30" i="248" s="1"/>
  <c r="AE30" i="248" a="1"/>
  <c r="AE30" i="248" s="1"/>
  <c r="W30" i="248" a="1"/>
  <c r="W30" i="248" s="1"/>
  <c r="O30" i="248" a="1"/>
  <c r="O30" i="248" s="1"/>
  <c r="G30" i="248" a="1"/>
  <c r="G30" i="248" s="1"/>
  <c r="AD30" i="248" a="1"/>
  <c r="AD30" i="248" s="1"/>
  <c r="V30" i="248" a="1"/>
  <c r="V30" i="248" s="1"/>
  <c r="N30" i="248" a="1"/>
  <c r="N30" i="248" s="1"/>
  <c r="F30" i="248" a="1"/>
  <c r="F30" i="248" s="1"/>
  <c r="AC30" i="248" a="1"/>
  <c r="AC30" i="248" s="1"/>
  <c r="U30" i="248" a="1"/>
  <c r="U30" i="248" s="1"/>
  <c r="M30" i="248" a="1"/>
  <c r="M30" i="248" s="1"/>
  <c r="AI30" i="248" a="1"/>
  <c r="AI30" i="248" s="1"/>
  <c r="AA30" i="248" a="1"/>
  <c r="AA30" i="248" s="1"/>
  <c r="AH30" i="248" a="1"/>
  <c r="AH30" i="248" s="1"/>
  <c r="J30" i="248" a="1"/>
  <c r="J30" i="248" s="1"/>
  <c r="Q30" i="248" a="1"/>
  <c r="Q30" i="248" s="1"/>
  <c r="I30" i="248" a="1"/>
  <c r="I30" i="248" s="1"/>
  <c r="AB30" i="248" a="1"/>
  <c r="AB30" i="248" s="1"/>
  <c r="T30" i="248" a="1"/>
  <c r="T30" i="248" s="1"/>
  <c r="AC30" i="250" a="1"/>
  <c r="AC30" i="250" s="1"/>
  <c r="U30" i="250" a="1"/>
  <c r="U30" i="250" s="1"/>
  <c r="M30" i="250" a="1"/>
  <c r="M30" i="250" s="1"/>
  <c r="AJ30" i="250" a="1"/>
  <c r="AJ30" i="250" s="1"/>
  <c r="AB30" i="250" a="1"/>
  <c r="AB30" i="250" s="1"/>
  <c r="T30" i="250" a="1"/>
  <c r="T30" i="250" s="1"/>
  <c r="L30" i="250" a="1"/>
  <c r="L30" i="250" s="1"/>
  <c r="AI30" i="250" a="1"/>
  <c r="AI30" i="250" s="1"/>
  <c r="AA30" i="250" a="1"/>
  <c r="AA30" i="250" s="1"/>
  <c r="S30" i="250" a="1"/>
  <c r="S30" i="250" s="1"/>
  <c r="AG30" i="250" a="1"/>
  <c r="AG30" i="250" s="1"/>
  <c r="I30" i="250" a="1"/>
  <c r="I30" i="250" s="1"/>
  <c r="P30" i="250" a="1"/>
  <c r="P30" i="250" s="1"/>
  <c r="H30" i="250" a="1"/>
  <c r="H30" i="250" s="1"/>
  <c r="W30" i="250" a="1"/>
  <c r="W30" i="250" s="1"/>
  <c r="O30" i="250" a="1"/>
  <c r="O30" i="250" s="1"/>
  <c r="G30" i="250" a="1"/>
  <c r="G30" i="250" s="1"/>
  <c r="AH30" i="250" a="1"/>
  <c r="AH30" i="250" s="1"/>
  <c r="AD30" i="250" a="1"/>
  <c r="AD30" i="250" s="1"/>
  <c r="Z30" i="250" a="1"/>
  <c r="Z30" i="250" s="1"/>
  <c r="V30" i="250" a="1"/>
  <c r="V30" i="250" s="1"/>
  <c r="N30" i="250" a="1"/>
  <c r="N30" i="250" s="1"/>
  <c r="F30" i="250" a="1"/>
  <c r="F30" i="250" s="1"/>
  <c r="AE30" i="249" a="1"/>
  <c r="AE30" i="249" s="1"/>
  <c r="W30" i="249" a="1"/>
  <c r="W30" i="249" s="1"/>
  <c r="O30" i="249" a="1"/>
  <c r="O30" i="249" s="1"/>
  <c r="AC30" i="249" a="1"/>
  <c r="AC30" i="249" s="1"/>
  <c r="M30" i="249" a="1"/>
  <c r="M30" i="249" s="1"/>
  <c r="F30" i="249" a="1"/>
  <c r="F30" i="249" s="1"/>
  <c r="AG30" i="249" a="1"/>
  <c r="AG30" i="249" s="1"/>
  <c r="X30" i="249" a="1"/>
  <c r="X30" i="249" s="1"/>
  <c r="V30" i="249" a="1"/>
  <c r="V30" i="249" s="1"/>
  <c r="L30" i="249" a="1"/>
  <c r="L30" i="249" s="1"/>
  <c r="AD30" i="249" a="1"/>
  <c r="AD30" i="249" s="1"/>
  <c r="T30" i="249" a="1"/>
  <c r="T30" i="249" s="1"/>
  <c r="AJ30" i="249" a="1"/>
  <c r="AJ30" i="249" s="1"/>
  <c r="AA30" i="249" a="1"/>
  <c r="AA30" i="249" s="1"/>
  <c r="I30" i="249" a="1"/>
  <c r="I30" i="249" s="1"/>
  <c r="Z30" i="249" a="1"/>
  <c r="Z30" i="249" s="1"/>
  <c r="Q30" i="249" a="1"/>
  <c r="Q30" i="249" s="1"/>
  <c r="H30" i="249" a="1"/>
  <c r="H30" i="249" s="1"/>
  <c r="AH30" i="249" a="1"/>
  <c r="AH30" i="249" s="1"/>
  <c r="P30" i="249" a="1"/>
  <c r="P30" i="249" s="1"/>
  <c r="S30" i="249" a="1"/>
  <c r="S30" i="249" s="1"/>
  <c r="J30" i="249" a="1"/>
  <c r="J30" i="249" s="1"/>
  <c r="AE30" i="251" a="1"/>
  <c r="AE30" i="251" s="1"/>
  <c r="W30" i="251" a="1"/>
  <c r="W30" i="251" s="1"/>
  <c r="O30" i="251" a="1"/>
  <c r="O30" i="251" s="1"/>
  <c r="G30" i="251" a="1"/>
  <c r="G30" i="251" s="1"/>
  <c r="AD30" i="251" a="1"/>
  <c r="AD30" i="251" s="1"/>
  <c r="V30" i="251" a="1"/>
  <c r="V30" i="251" s="1"/>
  <c r="N30" i="251" a="1"/>
  <c r="N30" i="251" s="1"/>
  <c r="F30" i="251" a="1"/>
  <c r="F30" i="251" s="1"/>
  <c r="AC30" i="251" a="1"/>
  <c r="AC30" i="251" s="1"/>
  <c r="U30" i="251" a="1"/>
  <c r="U30" i="251" s="1"/>
  <c r="M30" i="251" a="1"/>
  <c r="M30" i="251" s="1"/>
  <c r="AJ30" i="251" a="1"/>
  <c r="AJ30" i="251" s="1"/>
  <c r="AB30" i="251" a="1"/>
  <c r="AB30" i="251" s="1"/>
  <c r="T30" i="251" a="1"/>
  <c r="T30" i="251" s="1"/>
  <c r="AI30" i="251" a="1"/>
  <c r="AI30" i="251" s="1"/>
  <c r="AA30" i="251" a="1"/>
  <c r="AA30" i="251" s="1"/>
  <c r="AH30" i="251" a="1"/>
  <c r="AH30" i="251" s="1"/>
  <c r="J30" i="251" a="1"/>
  <c r="J30" i="251" s="1"/>
  <c r="Q30" i="251" a="1"/>
  <c r="Q30" i="251" s="1"/>
  <c r="I30" i="251" a="1"/>
  <c r="I30" i="251" s="1"/>
  <c r="X30" i="251" a="1"/>
  <c r="X30" i="251" s="1"/>
  <c r="P30" i="251" a="1"/>
  <c r="P30" i="251" s="1"/>
  <c r="H30" i="251" a="1"/>
  <c r="H30" i="251" s="1"/>
  <c r="AE30" i="252" a="1"/>
  <c r="AE30" i="252" s="1"/>
  <c r="W30" i="252" a="1"/>
  <c r="W30" i="252" s="1"/>
  <c r="G30" i="252" a="1"/>
  <c r="G30" i="252" s="1"/>
  <c r="AB30" i="252" a="1"/>
  <c r="AB30" i="252" s="1"/>
  <c r="T30" i="252" a="1"/>
  <c r="T30" i="252" s="1"/>
  <c r="L30" i="252" a="1"/>
  <c r="L30" i="252" s="1"/>
  <c r="AI30" i="252" a="1"/>
  <c r="AI30" i="252" s="1"/>
  <c r="AA30" i="252" a="1"/>
  <c r="AA30" i="252" s="1"/>
  <c r="S30" i="252" a="1"/>
  <c r="S30" i="252" s="1"/>
  <c r="AG30" i="252" a="1"/>
  <c r="AG30" i="252" s="1"/>
  <c r="Q30" i="252" a="1"/>
  <c r="Q30" i="252" s="1"/>
  <c r="I30" i="252" a="1"/>
  <c r="I30" i="252" s="1"/>
  <c r="X30" i="252" a="1"/>
  <c r="X30" i="252" s="1"/>
  <c r="P30" i="252" a="1"/>
  <c r="P30" i="252" s="1"/>
  <c r="J30" i="252" a="1"/>
  <c r="J30" i="252" s="1"/>
  <c r="U30" i="252" a="1"/>
  <c r="U30" i="252" s="1"/>
  <c r="AD30" i="252" a="1"/>
  <c r="AD30" i="252" s="1"/>
  <c r="F30" i="252" a="1"/>
  <c r="F30" i="252" s="1"/>
  <c r="Z30" i="252" a="1"/>
  <c r="Z30" i="252" s="1"/>
  <c r="N30" i="252" a="1"/>
  <c r="N30" i="252" s="1"/>
  <c r="M30" i="252" a="1"/>
  <c r="M30" i="252" s="1"/>
  <c r="AH30" i="252" a="1"/>
  <c r="AH30" i="252" s="1"/>
  <c r="X30" i="254" a="1"/>
  <c r="X30" i="254" s="1"/>
  <c r="P30" i="254" a="1"/>
  <c r="P30" i="254" s="1"/>
  <c r="H30" i="254" a="1"/>
  <c r="H30" i="254" s="1"/>
  <c r="AE30" i="254" a="1"/>
  <c r="AE30" i="254" s="1"/>
  <c r="W30" i="254" a="1"/>
  <c r="W30" i="254" s="1"/>
  <c r="O30" i="254" a="1"/>
  <c r="O30" i="254" s="1"/>
  <c r="G30" i="254" a="1"/>
  <c r="G30" i="254" s="1"/>
  <c r="AD30" i="254" a="1"/>
  <c r="AD30" i="254" s="1"/>
  <c r="V30" i="254" a="1"/>
  <c r="V30" i="254" s="1"/>
  <c r="N30" i="254" a="1"/>
  <c r="N30" i="254" s="1"/>
  <c r="AC30" i="254" a="1"/>
  <c r="AC30" i="254" s="1"/>
  <c r="U30" i="254" a="1"/>
  <c r="U30" i="254" s="1"/>
  <c r="AJ30" i="254" a="1"/>
  <c r="AJ30" i="254" s="1"/>
  <c r="AB30" i="254" a="1"/>
  <c r="AB30" i="254" s="1"/>
  <c r="L30" i="254" a="1"/>
  <c r="L30" i="254" s="1"/>
  <c r="AI30" i="254" a="1"/>
  <c r="AI30" i="254" s="1"/>
  <c r="S30" i="254" a="1"/>
  <c r="S30" i="254" s="1"/>
  <c r="AG30" i="254" a="1"/>
  <c r="AG30" i="254" s="1"/>
  <c r="Q30" i="254" a="1"/>
  <c r="Q30" i="254" s="1"/>
  <c r="I30" i="254" a="1"/>
  <c r="I30" i="254" s="1"/>
  <c r="Z30" i="254" a="1"/>
  <c r="Z30" i="254" s="1"/>
  <c r="J30" i="254" a="1"/>
  <c r="J30" i="254" s="1"/>
  <c r="AJ30" i="253" a="1"/>
  <c r="AJ30" i="253" s="1"/>
  <c r="AB30" i="253" a="1"/>
  <c r="AB30" i="253" s="1"/>
  <c r="T30" i="253" a="1"/>
  <c r="T30" i="253" s="1"/>
  <c r="AI30" i="253" a="1"/>
  <c r="AI30" i="253" s="1"/>
  <c r="AA30" i="253" a="1"/>
  <c r="AA30" i="253" s="1"/>
  <c r="S30" i="253" a="1"/>
  <c r="S30" i="253" s="1"/>
  <c r="AD30" i="253" a="1"/>
  <c r="AD30" i="253" s="1"/>
  <c r="U30" i="253" a="1"/>
  <c r="U30" i="253" s="1"/>
  <c r="L30" i="253" a="1"/>
  <c r="L30" i="253" s="1"/>
  <c r="J30" i="253" a="1"/>
  <c r="J30" i="253" s="1"/>
  <c r="Z30" i="253" a="1"/>
  <c r="Z30" i="253" s="1"/>
  <c r="Q30" i="253" a="1"/>
  <c r="Q30" i="253" s="1"/>
  <c r="I30" i="253" a="1"/>
  <c r="I30" i="253" s="1"/>
  <c r="AH30" i="253" a="1"/>
  <c r="AH30" i="253" s="1"/>
  <c r="P30" i="253" a="1"/>
  <c r="P30" i="253" s="1"/>
  <c r="H30" i="253" a="1"/>
  <c r="H30" i="253" s="1"/>
  <c r="AG30" i="253" a="1"/>
  <c r="AG30" i="253" s="1"/>
  <c r="X30" i="253" a="1"/>
  <c r="X30" i="253" s="1"/>
  <c r="O30" i="253" a="1"/>
  <c r="O30" i="253" s="1"/>
  <c r="G30" i="253" a="1"/>
  <c r="G30" i="253" s="1"/>
  <c r="W30" i="253" a="1"/>
  <c r="W30" i="253" s="1"/>
  <c r="N30" i="253" a="1"/>
  <c r="N30" i="253" s="1"/>
  <c r="F30" i="253" a="1"/>
  <c r="F30" i="253" s="1"/>
  <c r="AE30" i="253" a="1"/>
  <c r="AE30" i="253" s="1"/>
  <c r="V30" i="253" a="1"/>
  <c r="V30" i="253" s="1"/>
  <c r="M30" i="253" a="1"/>
  <c r="M30" i="253" s="1"/>
  <c r="AC30" i="253" a="1"/>
  <c r="AC30" i="253" s="1"/>
  <c r="U30" i="256" a="1"/>
  <c r="U30" i="256" s="1"/>
  <c r="AC30" i="256" a="1"/>
  <c r="AC30" i="256" s="1"/>
  <c r="L30" i="256" a="1"/>
  <c r="L30" i="256" s="1"/>
  <c r="T30" i="256" a="1"/>
  <c r="T30" i="256" s="1"/>
  <c r="AB30" i="256" a="1"/>
  <c r="AB30" i="256" s="1"/>
  <c r="AJ30" i="256" a="1"/>
  <c r="AJ30" i="256" s="1"/>
  <c r="S30" i="256" a="1"/>
  <c r="S30" i="256" s="1"/>
  <c r="AA30" i="256" a="1"/>
  <c r="AA30" i="256" s="1"/>
  <c r="J30" i="256" a="1"/>
  <c r="J30" i="256" s="1"/>
  <c r="AI30" i="256" a="1"/>
  <c r="AI30" i="256" s="1"/>
  <c r="I30" i="256" a="1"/>
  <c r="I30" i="256" s="1"/>
  <c r="Z30" i="256" a="1"/>
  <c r="Z30" i="256" s="1"/>
  <c r="Q30" i="256" a="1"/>
  <c r="Q30" i="256" s="1"/>
  <c r="AH30" i="256" a="1"/>
  <c r="AH30" i="256" s="1"/>
  <c r="H30" i="256" a="1"/>
  <c r="H30" i="256" s="1"/>
  <c r="AG30" i="256" a="1"/>
  <c r="AG30" i="256" s="1"/>
  <c r="P30" i="256" a="1"/>
  <c r="P30" i="256" s="1"/>
  <c r="X30" i="256" a="1"/>
  <c r="X30" i="256" s="1"/>
  <c r="G30" i="256" a="1"/>
  <c r="G30" i="256" s="1"/>
  <c r="O30" i="256" a="1"/>
  <c r="O30" i="256" s="1"/>
  <c r="W30" i="256" a="1"/>
  <c r="W30" i="256" s="1"/>
  <c r="F30" i="256" a="1"/>
  <c r="F30" i="256" s="1"/>
  <c r="AE30" i="256" a="1"/>
  <c r="AE30" i="256" s="1"/>
  <c r="N30" i="256" a="1"/>
  <c r="N30" i="256" s="1"/>
  <c r="V30" i="256" a="1"/>
  <c r="V30" i="256" s="1"/>
  <c r="M30" i="256" a="1"/>
  <c r="M30" i="256" s="1"/>
  <c r="AD30" i="256" a="1"/>
  <c r="AD30" i="256" s="1"/>
  <c r="AJ30" i="255" a="1"/>
  <c r="AJ30" i="255" s="1"/>
  <c r="AB30" i="255" a="1"/>
  <c r="AB30" i="255" s="1"/>
  <c r="T30" i="255" a="1"/>
  <c r="T30" i="255" s="1"/>
  <c r="L30" i="255" a="1"/>
  <c r="L30" i="255" s="1"/>
  <c r="AI30" i="255" a="1"/>
  <c r="AI30" i="255" s="1"/>
  <c r="AA30" i="255" a="1"/>
  <c r="AA30" i="255" s="1"/>
  <c r="S30" i="255" a="1"/>
  <c r="S30" i="255" s="1"/>
  <c r="AH30" i="255" a="1"/>
  <c r="AH30" i="255" s="1"/>
  <c r="Z30" i="255" a="1"/>
  <c r="Z30" i="255" s="1"/>
  <c r="AG30" i="255" a="1"/>
  <c r="AG30" i="255" s="1"/>
  <c r="Q30" i="255" a="1"/>
  <c r="Q30" i="255" s="1"/>
  <c r="X30" i="255" a="1"/>
  <c r="X30" i="255" s="1"/>
  <c r="H30" i="255" a="1"/>
  <c r="H30" i="255" s="1"/>
  <c r="AE30" i="255" a="1"/>
  <c r="AE30" i="255" s="1"/>
  <c r="O30" i="255" a="1"/>
  <c r="O30" i="255" s="1"/>
  <c r="G30" i="255" a="1"/>
  <c r="G30" i="255" s="1"/>
  <c r="V30" i="255" a="1"/>
  <c r="V30" i="255" s="1"/>
  <c r="N30" i="255" a="1"/>
  <c r="N30" i="255" s="1"/>
  <c r="F30" i="255" a="1"/>
  <c r="F30" i="255" s="1"/>
  <c r="AC30" i="255" a="1"/>
  <c r="AC30" i="255" s="1"/>
  <c r="U30" i="255" a="1"/>
  <c r="U30" i="255" s="1"/>
  <c r="M30" i="255" a="1"/>
  <c r="M30" i="255" s="1"/>
  <c r="J30" i="255" a="1"/>
  <c r="J30" i="255" s="1"/>
  <c r="AD30" i="257" a="1"/>
  <c r="AD30" i="257" s="1"/>
  <c r="V30" i="257" a="1"/>
  <c r="V30" i="257" s="1"/>
  <c r="F30" i="257" a="1"/>
  <c r="F30" i="257" s="1"/>
  <c r="AC30" i="257" a="1"/>
  <c r="AC30" i="257" s="1"/>
  <c r="M30" i="257" a="1"/>
  <c r="M30" i="257" s="1"/>
  <c r="AJ30" i="257" a="1"/>
  <c r="AJ30" i="257" s="1"/>
  <c r="T30" i="257" a="1"/>
  <c r="T30" i="257" s="1"/>
  <c r="L30" i="257" a="1"/>
  <c r="L30" i="257" s="1"/>
  <c r="AA30" i="257" a="1"/>
  <c r="AA30" i="257" s="1"/>
  <c r="S30" i="257" a="1"/>
  <c r="S30" i="257" s="1"/>
  <c r="AH30" i="257" a="1"/>
  <c r="AH30" i="257" s="1"/>
  <c r="Z30" i="257" a="1"/>
  <c r="Z30" i="257" s="1"/>
  <c r="J30" i="257" a="1"/>
  <c r="J30" i="257" s="1"/>
  <c r="AG30" i="257" a="1"/>
  <c r="AG30" i="257" s="1"/>
  <c r="Q30" i="257" a="1"/>
  <c r="Q30" i="257" s="1"/>
  <c r="I30" i="257" a="1"/>
  <c r="I30" i="257" s="1"/>
  <c r="AE30" i="257" a="1"/>
  <c r="AE30" i="257" s="1"/>
  <c r="W30" i="257" a="1"/>
  <c r="W30" i="257" s="1"/>
  <c r="O30" i="257" a="1"/>
  <c r="O30" i="257" s="1"/>
  <c r="X30" i="257" a="1"/>
  <c r="X30" i="257" s="1"/>
  <c r="H30" i="257" a="1"/>
  <c r="H30" i="257" s="1"/>
  <c r="P30" i="257" a="1"/>
  <c r="P30" i="257" s="1"/>
  <c r="AH30" i="258" a="1"/>
  <c r="AH30" i="258" s="1"/>
  <c r="Z30" i="258" a="1"/>
  <c r="Z30" i="258" s="1"/>
  <c r="J30" i="258" a="1"/>
  <c r="J30" i="258" s="1"/>
  <c r="AG30" i="258" a="1"/>
  <c r="AG30" i="258" s="1"/>
  <c r="Q30" i="258" a="1"/>
  <c r="Q30" i="258" s="1"/>
  <c r="I30" i="258" a="1"/>
  <c r="I30" i="258" s="1"/>
  <c r="X30" i="258" a="1"/>
  <c r="X30" i="258" s="1"/>
  <c r="P30" i="258" a="1"/>
  <c r="P30" i="258" s="1"/>
  <c r="AE30" i="258" a="1"/>
  <c r="AE30" i="258" s="1"/>
  <c r="W30" i="258" a="1"/>
  <c r="W30" i="258" s="1"/>
  <c r="G30" i="258" a="1"/>
  <c r="G30" i="258" s="1"/>
  <c r="AD30" i="258" a="1"/>
  <c r="AD30" i="258" s="1"/>
  <c r="N30" i="258" a="1"/>
  <c r="N30" i="258" s="1"/>
  <c r="F30" i="258" a="1"/>
  <c r="F30" i="258" s="1"/>
  <c r="U30" i="258" a="1"/>
  <c r="U30" i="258" s="1"/>
  <c r="M30" i="258" a="1"/>
  <c r="M30" i="258" s="1"/>
  <c r="AJ30" i="258" a="1"/>
  <c r="AJ30" i="258" s="1"/>
  <c r="AB30" i="258" a="1"/>
  <c r="AB30" i="258" s="1"/>
  <c r="T30" i="258" a="1"/>
  <c r="T30" i="258" s="1"/>
  <c r="L30" i="258" a="1"/>
  <c r="L30" i="258" s="1"/>
  <c r="AI30" i="258" a="1"/>
  <c r="AI30" i="258" s="1"/>
  <c r="AA30" i="258" a="1"/>
  <c r="AA30" i="258" s="1"/>
  <c r="S30" i="258" a="1"/>
  <c r="S30" i="258" s="1"/>
  <c r="V21" i="143" a="1"/>
  <c r="V21" i="143" s="1"/>
  <c r="U21" i="143" a="1"/>
  <c r="U21" i="143" s="1"/>
  <c r="W21" i="143" a="1"/>
  <c r="W21" i="143" s="1"/>
  <c r="T19" i="135"/>
  <c r="U18" i="135"/>
  <c r="U19" i="135" s="1"/>
  <c r="AB19" i="143"/>
  <c r="AC19" i="143" s="1"/>
  <c r="U20" i="135" a="1"/>
  <c r="U20" i="135" s="1"/>
  <c r="W16" i="135"/>
  <c r="V17" i="135"/>
  <c r="V14" i="135"/>
  <c r="K15" i="135"/>
  <c r="Z20" i="143"/>
  <c r="X20" i="143"/>
  <c r="AA20" i="143" s="1"/>
  <c r="P20" i="143"/>
  <c r="R20" i="143" s="1"/>
  <c r="Y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W22" i="143" l="1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Z21" i="143"/>
  <c r="X21" i="143"/>
  <c r="AA21" i="143" s="1"/>
  <c r="AB20" i="143"/>
  <c r="AC20" i="143" s="1"/>
  <c r="Y21" i="143"/>
  <c r="P21" i="143"/>
  <c r="R21" i="143" s="1"/>
  <c r="O21" i="143"/>
  <c r="Q22" i="143" a="1"/>
  <c r="Q22" i="143" s="1"/>
  <c r="N22" i="143"/>
  <c r="K22" i="143" a="1"/>
  <c r="K22" i="143" s="1"/>
  <c r="F24" i="143"/>
  <c r="J24" i="143"/>
  <c r="I23" i="143"/>
  <c r="E23" i="143"/>
  <c r="G23" i="143"/>
  <c r="H23" i="143"/>
  <c r="W23" i="143" l="1" a="1"/>
  <c r="W23" i="143" s="1"/>
  <c r="V23" i="143" a="1"/>
  <c r="V23" i="143" s="1"/>
  <c r="U23" i="143" a="1"/>
  <c r="U23" i="143" s="1"/>
  <c r="V19" i="135"/>
  <c r="W18" i="135"/>
  <c r="W19" i="135" s="1"/>
  <c r="AB21" i="143"/>
  <c r="AC21" i="143" s="1"/>
  <c r="W20" i="135" a="1"/>
  <c r="W20" i="135" s="1"/>
  <c r="Y16" i="135"/>
  <c r="X17" i="135"/>
  <c r="X14" i="135"/>
  <c r="M15" i="135"/>
  <c r="X22" i="143"/>
  <c r="AA22" i="143" s="1"/>
  <c r="Z22" i="143"/>
  <c r="Y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W24" i="143" l="1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Z23" i="143"/>
  <c r="X23" i="143"/>
  <c r="AA23" i="143" s="1"/>
  <c r="AB22" i="143"/>
  <c r="AC22" i="143" s="1"/>
  <c r="Y23" i="143"/>
  <c r="P23" i="143"/>
  <c r="R23" i="143" s="1"/>
  <c r="O23" i="143"/>
  <c r="Q24" i="143" a="1"/>
  <c r="Q24" i="143" s="1"/>
  <c r="N24" i="143"/>
  <c r="K24" i="143" a="1"/>
  <c r="K24" i="143" s="1"/>
  <c r="F25" i="143"/>
  <c r="J25" i="143"/>
  <c r="I25" i="143"/>
  <c r="D26" i="143"/>
  <c r="G25" i="143"/>
  <c r="H25" i="143"/>
  <c r="E25" i="143"/>
  <c r="W25" i="143" l="1" a="1"/>
  <c r="W25" i="143" s="1"/>
  <c r="V25" i="143" a="1"/>
  <c r="V25" i="143" s="1"/>
  <c r="U25" i="143" a="1"/>
  <c r="U25" i="143" s="1"/>
  <c r="X27" i="135" a="1"/>
  <c r="X27" i="135" s="1"/>
  <c r="Y18" i="135"/>
  <c r="Y19" i="135" s="1"/>
  <c r="Y20" i="135" a="1"/>
  <c r="Y20" i="135" s="1"/>
  <c r="AA16" i="135"/>
  <c r="Z17" i="135"/>
  <c r="Z14" i="135"/>
  <c r="O15" i="135"/>
  <c r="P15" i="135"/>
  <c r="X24" i="143"/>
  <c r="AA24" i="143" s="1"/>
  <c r="Z24" i="143"/>
  <c r="AB23" i="143"/>
  <c r="AC23" i="143" s="1"/>
  <c r="Y24" i="143"/>
  <c r="P24" i="143"/>
  <c r="R24" i="143" s="1"/>
  <c r="O24" i="143"/>
  <c r="Q25" i="143" a="1"/>
  <c r="Q25" i="143" s="1"/>
  <c r="N25" i="143"/>
  <c r="K25" i="143" a="1"/>
  <c r="K25" i="143" s="1"/>
  <c r="F26" i="143"/>
  <c r="J26" i="143"/>
  <c r="I26" i="143"/>
  <c r="H26" i="143"/>
  <c r="G26" i="143"/>
  <c r="E26" i="143"/>
  <c r="D27" i="143"/>
  <c r="W26" i="143" l="1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B24" i="143"/>
  <c r="AC24" i="143" s="1"/>
  <c r="X25" i="143"/>
  <c r="AA25" i="143" s="1"/>
  <c r="Z25" i="143"/>
  <c r="Y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W27" i="143" l="1" a="1"/>
  <c r="W27" i="143" s="1"/>
  <c r="V27" i="143" a="1"/>
  <c r="V27" i="143" s="1"/>
  <c r="U27" i="143" a="1"/>
  <c r="U27" i="143" s="1"/>
  <c r="AA18" i="135"/>
  <c r="AB25" i="143"/>
  <c r="AC25" i="143" s="1"/>
  <c r="AA20" i="135" a="1"/>
  <c r="AA20" i="135" s="1"/>
  <c r="AC16" i="135"/>
  <c r="AB17" i="135"/>
  <c r="AB14" i="135"/>
  <c r="R15" i="135"/>
  <c r="Z26" i="143"/>
  <c r="X26" i="143"/>
  <c r="AA26" i="143" s="1"/>
  <c r="Y26" i="143"/>
  <c r="P26" i="143"/>
  <c r="R26" i="143" s="1"/>
  <c r="O26" i="143"/>
  <c r="Q27" i="143" a="1"/>
  <c r="Q27" i="143" s="1"/>
  <c r="N27" i="143"/>
  <c r="K27" i="143" a="1"/>
  <c r="K27" i="143" s="1"/>
  <c r="F28" i="143"/>
  <c r="J28" i="143"/>
  <c r="D29" i="143"/>
  <c r="G28" i="143"/>
  <c r="H28" i="143"/>
  <c r="E28" i="143"/>
  <c r="I28" i="143"/>
  <c r="W28" i="143" l="1" a="1"/>
  <c r="W28" i="143" s="1"/>
  <c r="V28" i="143" a="1"/>
  <c r="V28" i="143" s="1"/>
  <c r="U28" i="143" a="1"/>
  <c r="U28" i="143" s="1"/>
  <c r="AA19" i="135"/>
  <c r="AB18" i="135"/>
  <c r="AB26" i="143"/>
  <c r="AC26" i="143" s="1"/>
  <c r="AB20" i="135" a="1"/>
  <c r="AB20" i="135" s="1"/>
  <c r="AD16" i="135"/>
  <c r="AC17" i="135"/>
  <c r="AC14" i="135"/>
  <c r="S15" i="135"/>
  <c r="X27" i="143"/>
  <c r="AA27" i="143" s="1"/>
  <c r="Z27" i="143"/>
  <c r="Q28" i="143" a="1"/>
  <c r="Q28" i="143" s="1"/>
  <c r="Y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W29" i="143" l="1" a="1"/>
  <c r="W29" i="143" s="1"/>
  <c r="V29" i="143" a="1"/>
  <c r="V29" i="143" s="1"/>
  <c r="U29" i="143" a="1"/>
  <c r="U29" i="143" s="1"/>
  <c r="AB19" i="135"/>
  <c r="AC18" i="135"/>
  <c r="AC19" i="135" s="1"/>
  <c r="AB27" i="143"/>
  <c r="AC27" i="143" s="1"/>
  <c r="AC20" i="135" a="1"/>
  <c r="AC20" i="135" s="1"/>
  <c r="AE16" i="135"/>
  <c r="AD17" i="135"/>
  <c r="AD14" i="135"/>
  <c r="T15" i="135"/>
  <c r="X28" i="143"/>
  <c r="Z28" i="143"/>
  <c r="Y28" i="143"/>
  <c r="AA28" i="143"/>
  <c r="P28" i="143"/>
  <c r="R28" i="143" s="1"/>
  <c r="O28" i="143"/>
  <c r="Q29" i="143" a="1"/>
  <c r="Q29" i="143" s="1"/>
  <c r="N29" i="143"/>
  <c r="K29" i="143" a="1"/>
  <c r="K29" i="143" s="1"/>
  <c r="F30" i="143"/>
  <c r="J30" i="143"/>
  <c r="E30" i="143"/>
  <c r="D31" i="143"/>
  <c r="I30" i="143"/>
  <c r="G30" i="143"/>
  <c r="H30" i="143"/>
  <c r="W30" i="143" l="1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X29" i="143"/>
  <c r="Z29" i="143"/>
  <c r="Y29" i="143"/>
  <c r="AA29" i="143"/>
  <c r="AB28" i="143"/>
  <c r="AC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W31" i="143" l="1" a="1"/>
  <c r="W31" i="143" s="1"/>
  <c r="V31" i="143" a="1"/>
  <c r="V31" i="143" s="1"/>
  <c r="U31" i="143" a="1"/>
  <c r="U31" i="143" s="1"/>
  <c r="Y30" i="143"/>
  <c r="AE18" i="135"/>
  <c r="AE19" i="135" s="1"/>
  <c r="AE20" i="135" a="1"/>
  <c r="AE20" i="135" s="1"/>
  <c r="AG16" i="135"/>
  <c r="AF17" i="135"/>
  <c r="AF14" i="135"/>
  <c r="V15" i="135"/>
  <c r="Z30" i="143"/>
  <c r="X30" i="143"/>
  <c r="AA30" i="143" s="1"/>
  <c r="AB29" i="143"/>
  <c r="AC29" i="143" s="1"/>
  <c r="Q31" i="143" a="1"/>
  <c r="Q31" i="143" s="1"/>
  <c r="P30" i="143"/>
  <c r="R30" i="143" s="1"/>
  <c r="O30" i="143"/>
  <c r="N31" i="143"/>
  <c r="K31" i="143" a="1"/>
  <c r="K31" i="143" s="1"/>
  <c r="F32" i="143"/>
  <c r="J32" i="143"/>
  <c r="H32" i="143"/>
  <c r="D33" i="143"/>
  <c r="G32" i="143"/>
  <c r="E32" i="143"/>
  <c r="I32" i="143"/>
  <c r="W15" i="135"/>
  <c r="U32" i="143" l="1" a="1"/>
  <c r="U32" i="143" s="1"/>
  <c r="W32" i="143" a="1"/>
  <c r="W32" i="143" s="1"/>
  <c r="V32" i="143" a="1"/>
  <c r="V32" i="143" s="1"/>
  <c r="AE27" i="135" a="1"/>
  <c r="AE27" i="135" s="1"/>
  <c r="AF18" i="135"/>
  <c r="AF19" i="135" s="1"/>
  <c r="AB30" i="143"/>
  <c r="AC30" i="143" s="1"/>
  <c r="AF20" i="135" a="1"/>
  <c r="AF20" i="135" s="1"/>
  <c r="AH16" i="135"/>
  <c r="AG17" i="135"/>
  <c r="AG14" i="135"/>
  <c r="X31" i="143"/>
  <c r="AA31" i="143" s="1"/>
  <c r="Z31" i="143"/>
  <c r="Y31" i="143"/>
  <c r="P31" i="143"/>
  <c r="R31" i="143" s="1"/>
  <c r="O31" i="143"/>
  <c r="Q32" i="143" a="1"/>
  <c r="Q32" i="143" s="1"/>
  <c r="N32" i="143"/>
  <c r="K32" i="143" a="1"/>
  <c r="K32" i="143" s="1"/>
  <c r="F33" i="143"/>
  <c r="J33" i="143"/>
  <c r="E33" i="143"/>
  <c r="I33" i="143"/>
  <c r="D34" i="143"/>
  <c r="G33" i="143"/>
  <c r="H33" i="143"/>
  <c r="W33" i="143" l="1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B31" i="143"/>
  <c r="AC31" i="143" s="1"/>
  <c r="X32" i="143"/>
  <c r="Z32" i="143"/>
  <c r="Y32" i="143"/>
  <c r="AA32" i="143"/>
  <c r="Q33" i="143" a="1"/>
  <c r="Q33" i="143" s="1"/>
  <c r="P32" i="143"/>
  <c r="R32" i="143" s="1"/>
  <c r="O32" i="143"/>
  <c r="N33" i="143"/>
  <c r="K33" i="143" a="1"/>
  <c r="K33" i="143" s="1"/>
  <c r="F34" i="143"/>
  <c r="J34" i="143"/>
  <c r="I34" i="143"/>
  <c r="D35" i="143"/>
  <c r="H34" i="143"/>
  <c r="E34" i="143"/>
  <c r="G34" i="143"/>
  <c r="W34" i="143" l="1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X33" i="143"/>
  <c r="AA33" i="143" s="1"/>
  <c r="Z33" i="143"/>
  <c r="AB32" i="143"/>
  <c r="AC32" i="143" s="1"/>
  <c r="P33" i="143"/>
  <c r="R33" i="143" s="1"/>
  <c r="Y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W35" i="143" l="1" a="1"/>
  <c r="W35" i="143" s="1"/>
  <c r="V35" i="143" a="1"/>
  <c r="V35" i="143" s="1"/>
  <c r="U35" i="143" a="1"/>
  <c r="U35" i="143" s="1"/>
  <c r="AI18" i="135"/>
  <c r="AB33" i="143"/>
  <c r="AC33" i="143" s="1"/>
  <c r="AI20" i="135" a="1"/>
  <c r="AI20" i="135" s="1"/>
  <c r="AJ17" i="135"/>
  <c r="J25" i="145" s="1"/>
  <c r="AJ14" i="135"/>
  <c r="Z15" i="135"/>
  <c r="X34" i="143"/>
  <c r="Z34" i="143"/>
  <c r="AA34" i="143"/>
  <c r="P34" i="143"/>
  <c r="R34" i="143" s="1"/>
  <c r="Y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W36" i="143" l="1" a="1"/>
  <c r="W36" i="143" s="1"/>
  <c r="V36" i="143" a="1"/>
  <c r="V36" i="143" s="1"/>
  <c r="U36" i="143" a="1"/>
  <c r="U36" i="143" s="1"/>
  <c r="AI19" i="135"/>
  <c r="AJ18" i="135"/>
  <c r="AJ27" i="135" s="1" a="1"/>
  <c r="AJ27" i="135" s="1"/>
  <c r="AJ20" i="135" a="1"/>
  <c r="AJ20" i="135" s="1"/>
  <c r="AA15" i="135"/>
  <c r="Z35" i="143"/>
  <c r="X35" i="143"/>
  <c r="AA35" i="143" s="1"/>
  <c r="Y35" i="143"/>
  <c r="AB34" i="143"/>
  <c r="AC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V37" i="143" l="1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A36" i="143"/>
  <c r="AB15" i="135"/>
  <c r="X36" i="143"/>
  <c r="Z36" i="143"/>
  <c r="AB35" i="143"/>
  <c r="AC35" i="143" s="1"/>
  <c r="Y36" i="143"/>
  <c r="Q37" i="143" a="1"/>
  <c r="Q37" i="143" s="1"/>
  <c r="P36" i="143"/>
  <c r="R36" i="143" s="1"/>
  <c r="O36" i="143"/>
  <c r="N37" i="143"/>
  <c r="K37" i="143" a="1"/>
  <c r="K37" i="143" s="1"/>
  <c r="F38" i="143"/>
  <c r="J38" i="143"/>
  <c r="D39" i="143"/>
  <c r="H38" i="143"/>
  <c r="E38" i="143"/>
  <c r="G38" i="143"/>
  <c r="I38" i="143"/>
  <c r="Y37" i="143" l="1"/>
  <c r="W38" i="143" a="1"/>
  <c r="W38" i="143" s="1"/>
  <c r="V38" i="143" a="1"/>
  <c r="V38" i="143" s="1"/>
  <c r="U38" i="143" a="1"/>
  <c r="U38" i="143" s="1"/>
  <c r="V41" i="145"/>
  <c r="AB36" i="143"/>
  <c r="AC36" i="143" s="1"/>
  <c r="AC15" i="135"/>
  <c r="X37" i="143"/>
  <c r="AA37" i="143" s="1"/>
  <c r="Z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W39" i="143" l="1" a="1"/>
  <c r="W39" i="143" s="1"/>
  <c r="V39" i="143" a="1"/>
  <c r="V39" i="143" s="1"/>
  <c r="U39" i="143" a="1"/>
  <c r="U39" i="143" s="1"/>
  <c r="AB37" i="143"/>
  <c r="AC37" i="143" s="1"/>
  <c r="AD15" i="135"/>
  <c r="Z38" i="143"/>
  <c r="X38" i="143"/>
  <c r="AA38" i="143" s="1"/>
  <c r="Q39" i="143" a="1"/>
  <c r="Q39" i="143" s="1"/>
  <c r="P38" i="143"/>
  <c r="R38" i="143" s="1"/>
  <c r="Y38" i="143" s="1"/>
  <c r="O38" i="143"/>
  <c r="N39" i="143"/>
  <c r="K39" i="143" a="1"/>
  <c r="K39" i="143" s="1"/>
  <c r="AI21" i="258" s="1" a="1"/>
  <c r="AI21" i="258" s="1"/>
  <c r="F40" i="143"/>
  <c r="J40" i="143"/>
  <c r="D41" i="143"/>
  <c r="I40" i="143"/>
  <c r="E40" i="143"/>
  <c r="H40" i="143"/>
  <c r="G40" i="143"/>
  <c r="AI29" i="258" l="1"/>
  <c r="AI32" i="258"/>
  <c r="AJ21" i="251" a="1"/>
  <c r="AJ21" i="251" s="1"/>
  <c r="AJ21" i="256" a="1"/>
  <c r="AJ21" i="256" s="1"/>
  <c r="AJ21" i="254" a="1"/>
  <c r="AJ21" i="254" s="1"/>
  <c r="W40" i="143" a="1"/>
  <c r="W40" i="143" s="1"/>
  <c r="V40" i="143" a="1"/>
  <c r="V40" i="143" s="1"/>
  <c r="U40" i="143" a="1"/>
  <c r="U40" i="143" s="1"/>
  <c r="AE15" i="135"/>
  <c r="Z39" i="143"/>
  <c r="X39" i="143"/>
  <c r="AA39" i="143" s="1"/>
  <c r="AB38" i="143"/>
  <c r="AC38" i="143" s="1"/>
  <c r="Q40" i="143" a="1"/>
  <c r="Q40" i="143" s="1"/>
  <c r="P39" i="143"/>
  <c r="R39" i="143" s="1"/>
  <c r="Y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AJ21" i="249" l="1" a="1"/>
  <c r="AJ21" i="249" s="1"/>
  <c r="AJ21" i="258" a="1"/>
  <c r="AJ21" i="258" s="1"/>
  <c r="AJ29" i="254"/>
  <c r="AJ32" i="254"/>
  <c r="AJ29" i="256"/>
  <c r="AJ32" i="256"/>
  <c r="AJ29" i="251"/>
  <c r="AJ32" i="251"/>
  <c r="AF15" i="135"/>
  <c r="X40" i="143"/>
  <c r="Z40" i="143"/>
  <c r="Y40" i="143"/>
  <c r="AA40" i="143"/>
  <c r="AB39" i="143"/>
  <c r="AC39" i="143" s="1"/>
  <c r="Q41" i="143" a="1"/>
  <c r="Q41" i="143" s="1"/>
  <c r="P40" i="143"/>
  <c r="R40" i="143" s="1"/>
  <c r="O40" i="143"/>
  <c r="N41" i="143"/>
  <c r="K41" i="143" a="1"/>
  <c r="K41" i="143" s="1"/>
  <c r="F42" i="143"/>
  <c r="J42" i="143"/>
  <c r="I42" i="143"/>
  <c r="D43" i="143"/>
  <c r="E42" i="143"/>
  <c r="H42" i="143"/>
  <c r="G42" i="143"/>
  <c r="F21" i="258" l="1" a="1"/>
  <c r="F21" i="258" s="1"/>
  <c r="AJ29" i="258"/>
  <c r="AJ32" i="258"/>
  <c r="AJ29" i="249"/>
  <c r="AJ32" i="249"/>
  <c r="X41" i="143"/>
  <c r="Z41" i="143"/>
  <c r="AH26" i="135"/>
  <c r="Y41" i="143"/>
  <c r="AA41" i="143"/>
  <c r="AB40" i="143"/>
  <c r="AC40" i="143" s="1"/>
  <c r="P41" i="143"/>
  <c r="R41" i="143" s="1"/>
  <c r="O41" i="143"/>
  <c r="Q42" i="143" a="1"/>
  <c r="Q42" i="143" s="1"/>
  <c r="N42" i="143"/>
  <c r="K42" i="143" a="1"/>
  <c r="K42" i="143" s="1"/>
  <c r="F43" i="143"/>
  <c r="J43" i="143"/>
  <c r="D44" i="143"/>
  <c r="I43" i="143"/>
  <c r="G43" i="143"/>
  <c r="E43" i="143"/>
  <c r="H43" i="143"/>
  <c r="G21" i="258" l="1" a="1"/>
  <c r="G21" i="258" s="1"/>
  <c r="F29" i="258"/>
  <c r="F32" i="258"/>
  <c r="AA42" i="143"/>
  <c r="X42" i="143"/>
  <c r="AG15" i="135"/>
  <c r="Z42" i="143"/>
  <c r="AI26" i="135"/>
  <c r="AB41" i="143"/>
  <c r="AC41" i="143" s="1"/>
  <c r="Y42" i="143"/>
  <c r="P42" i="143"/>
  <c r="R42" i="143" s="1"/>
  <c r="O42" i="143"/>
  <c r="Q43" i="143" a="1"/>
  <c r="Q43" i="143" s="1"/>
  <c r="N43" i="143"/>
  <c r="K43" i="143" a="1"/>
  <c r="K43" i="143" s="1"/>
  <c r="F44" i="143"/>
  <c r="J44" i="143"/>
  <c r="D45" i="143"/>
  <c r="I44" i="143"/>
  <c r="E44" i="143"/>
  <c r="G44" i="143"/>
  <c r="H44" i="143"/>
  <c r="H21" i="258" l="1" a="1"/>
  <c r="H21" i="258" s="1"/>
  <c r="G29" i="258"/>
  <c r="G32" i="258"/>
  <c r="AA43" i="143"/>
  <c r="AB42" i="143"/>
  <c r="AC42" i="143" s="1"/>
  <c r="AJ15" i="135"/>
  <c r="AH15" i="135"/>
  <c r="AI15" i="135"/>
  <c r="X43" i="143"/>
  <c r="AJ26" i="135"/>
  <c r="AL26" i="135" s="1"/>
  <c r="AM19" i="135"/>
  <c r="Z43" i="143"/>
  <c r="Y43" i="143"/>
  <c r="P43" i="143"/>
  <c r="R43" i="143" s="1"/>
  <c r="O43" i="143"/>
  <c r="Q44" i="143" a="1"/>
  <c r="Q44" i="143" s="1"/>
  <c r="N44" i="143"/>
  <c r="K44" i="143" a="1"/>
  <c r="K44" i="143" s="1"/>
  <c r="F45" i="143"/>
  <c r="J45" i="143"/>
  <c r="D46" i="143"/>
  <c r="G45" i="143"/>
  <c r="H45" i="143"/>
  <c r="E45" i="143"/>
  <c r="I45" i="143"/>
  <c r="I21" i="258" l="1" a="1"/>
  <c r="I21" i="258" s="1"/>
  <c r="H29" i="258"/>
  <c r="H32" i="258"/>
  <c r="J230" i="145"/>
  <c r="J60" i="145"/>
  <c r="H8" i="139" s="1"/>
  <c r="Z44" i="143"/>
  <c r="X44" i="143"/>
  <c r="AA44" i="143" s="1"/>
  <c r="AB43" i="143"/>
  <c r="AC43" i="143" s="1"/>
  <c r="AM20" i="135"/>
  <c r="J50" i="145" s="1"/>
  <c r="Y44" i="143"/>
  <c r="P44" i="143"/>
  <c r="R44" i="143" s="1"/>
  <c r="O44" i="143"/>
  <c r="Q45" i="143" a="1"/>
  <c r="Q45" i="143" s="1"/>
  <c r="N45" i="143"/>
  <c r="K45" i="143" a="1"/>
  <c r="K45" i="143" s="1"/>
  <c r="J21" i="258" s="1" a="1"/>
  <c r="J21" i="258" s="1"/>
  <c r="F46" i="143"/>
  <c r="J46" i="143"/>
  <c r="AL17" i="135" a="1"/>
  <c r="AL17" i="135" s="1"/>
  <c r="I46" i="143"/>
  <c r="E46" i="143"/>
  <c r="G46" i="143"/>
  <c r="H46" i="143"/>
  <c r="D47" i="143"/>
  <c r="J29" i="258" l="1"/>
  <c r="J32" i="258"/>
  <c r="I29" i="258"/>
  <c r="I32" i="258"/>
  <c r="J61" i="145"/>
  <c r="J231" i="145"/>
  <c r="V230" i="145"/>
  <c r="V60" i="145"/>
  <c r="V50" i="145"/>
  <c r="J26" i="145"/>
  <c r="X45" i="143"/>
  <c r="AA45" i="143" s="1"/>
  <c r="Z45" i="143"/>
  <c r="AB44" i="143"/>
  <c r="AC44" i="143" s="1"/>
  <c r="AF8" i="139"/>
  <c r="Q46" i="143" a="1"/>
  <c r="Q46" i="143" s="1"/>
  <c r="P45" i="143"/>
  <c r="R45" i="143" s="1"/>
  <c r="Y45" i="143" s="1"/>
  <c r="O45" i="143"/>
  <c r="N46" i="143"/>
  <c r="K46" i="143" a="1"/>
  <c r="K46" i="143" s="1"/>
  <c r="F47" i="143"/>
  <c r="J47" i="143"/>
  <c r="D48" i="143"/>
  <c r="E47" i="143"/>
  <c r="H47" i="143"/>
  <c r="I47" i="143"/>
  <c r="G47" i="143"/>
  <c r="K21" i="258" l="1" a="1"/>
  <c r="K21" i="258" s="1"/>
  <c r="V231" i="145"/>
  <c r="J232" i="145"/>
  <c r="J62" i="145"/>
  <c r="V61" i="145"/>
  <c r="M45" i="144"/>
  <c r="N45" i="144" s="1"/>
  <c r="L33" i="144"/>
  <c r="AF7" i="139" s="1"/>
  <c r="Z46" i="143"/>
  <c r="X46" i="143"/>
  <c r="AA46" i="143" s="1"/>
  <c r="AB45" i="143"/>
  <c r="AC45" i="143" s="1"/>
  <c r="Q47" i="143" a="1"/>
  <c r="Q47" i="143" s="1"/>
  <c r="P46" i="143"/>
  <c r="R46" i="143" s="1"/>
  <c r="Y46" i="143" s="1"/>
  <c r="O46" i="143"/>
  <c r="N47" i="143"/>
  <c r="K47" i="143" a="1"/>
  <c r="K47" i="143" s="1"/>
  <c r="F48" i="143"/>
  <c r="J48" i="143"/>
  <c r="I48" i="143"/>
  <c r="G48" i="143"/>
  <c r="D49" i="143"/>
  <c r="E48" i="143"/>
  <c r="H48" i="143"/>
  <c r="L21" i="258" l="1" a="1"/>
  <c r="L21" i="258" s="1"/>
  <c r="K29" i="258"/>
  <c r="K32" i="258"/>
  <c r="K232" i="145"/>
  <c r="K62" i="145"/>
  <c r="J123" i="145"/>
  <c r="N123" i="145"/>
  <c r="L123" i="145"/>
  <c r="P123" i="145"/>
  <c r="Q123" i="145"/>
  <c r="O123" i="145"/>
  <c r="U123" i="145"/>
  <c r="S123" i="145"/>
  <c r="M123" i="145"/>
  <c r="R123" i="145"/>
  <c r="T123" i="145"/>
  <c r="K123" i="145"/>
  <c r="L45" i="144"/>
  <c r="X47" i="143"/>
  <c r="AA47" i="143" s="1"/>
  <c r="Z47" i="143"/>
  <c r="AB46" i="143"/>
  <c r="AC46" i="143" s="1"/>
  <c r="P47" i="143"/>
  <c r="R47" i="143" s="1"/>
  <c r="Y47" i="143" s="1"/>
  <c r="O47" i="143"/>
  <c r="Q48" i="143" a="1"/>
  <c r="Q48" i="143" s="1"/>
  <c r="N48" i="143"/>
  <c r="K48" i="143" a="1"/>
  <c r="K48" i="143" s="1"/>
  <c r="F49" i="143"/>
  <c r="J49" i="143"/>
  <c r="H49" i="143"/>
  <c r="E49" i="143"/>
  <c r="G49" i="143"/>
  <c r="I49" i="143"/>
  <c r="D50" i="143"/>
  <c r="L29" i="258" l="1"/>
  <c r="L32" i="258"/>
  <c r="M21" i="258" a="1"/>
  <c r="M21" i="258" s="1"/>
  <c r="L62" i="145"/>
  <c r="L232" i="145"/>
  <c r="V123" i="145"/>
  <c r="AO17" i="135" a="1"/>
  <c r="AO17" i="135" s="1"/>
  <c r="X48" i="143"/>
  <c r="AA48" i="143" s="1"/>
  <c r="AB47" i="143"/>
  <c r="AC47" i="143" s="1"/>
  <c r="S55" i="138"/>
  <c r="Z48" i="143"/>
  <c r="Q49" i="143" a="1"/>
  <c r="Q49" i="143" s="1"/>
  <c r="P48" i="143"/>
  <c r="R48" i="143" s="1"/>
  <c r="Y48" i="143" s="1"/>
  <c r="O48" i="143"/>
  <c r="N49" i="143"/>
  <c r="K49" i="143" a="1"/>
  <c r="K49" i="143" s="1"/>
  <c r="F50" i="143"/>
  <c r="J50" i="143"/>
  <c r="I50" i="143"/>
  <c r="G50" i="143"/>
  <c r="E50" i="143"/>
  <c r="D51" i="143"/>
  <c r="H50" i="143"/>
  <c r="M29" i="258" l="1"/>
  <c r="M32" i="258"/>
  <c r="N21" i="258" a="1"/>
  <c r="N21" i="258" s="1"/>
  <c r="M62" i="145"/>
  <c r="M232" i="145"/>
  <c r="Z49" i="143"/>
  <c r="X49" i="143"/>
  <c r="AA49" i="143" s="1"/>
  <c r="AB48" i="143"/>
  <c r="AC48" i="143" s="1"/>
  <c r="P49" i="143"/>
  <c r="R49" i="143" s="1"/>
  <c r="Y49" i="143" s="1"/>
  <c r="O49" i="143"/>
  <c r="Q50" i="143" a="1"/>
  <c r="Q50" i="143" s="1"/>
  <c r="N50" i="143"/>
  <c r="K50" i="143" a="1"/>
  <c r="K50" i="143" s="1"/>
  <c r="O21" i="258" s="1" a="1"/>
  <c r="O21" i="258" s="1"/>
  <c r="F51" i="143"/>
  <c r="J51" i="143"/>
  <c r="I51" i="143"/>
  <c r="D52" i="143"/>
  <c r="G51" i="143"/>
  <c r="H51" i="143"/>
  <c r="E51" i="143"/>
  <c r="O29" i="258" l="1"/>
  <c r="O32" i="258"/>
  <c r="N29" i="258"/>
  <c r="N32" i="258"/>
  <c r="N62" i="145"/>
  <c r="N232" i="145"/>
  <c r="AB49" i="143"/>
  <c r="AC49" i="143" s="1"/>
  <c r="Z50" i="143"/>
  <c r="X50" i="143"/>
  <c r="Y50" i="143"/>
  <c r="AA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P21" i="258" l="1" a="1"/>
  <c r="P21" i="258" s="1"/>
  <c r="O62" i="145"/>
  <c r="O232" i="145"/>
  <c r="Y51" i="143"/>
  <c r="X51" i="143"/>
  <c r="AA51" i="143" s="1"/>
  <c r="Z51" i="143"/>
  <c r="AB50" i="143"/>
  <c r="AC50" i="143" s="1"/>
  <c r="Q52" i="143" a="1"/>
  <c r="Q52" i="143" s="1"/>
  <c r="P51" i="143"/>
  <c r="R51" i="143" s="1"/>
  <c r="O51" i="143"/>
  <c r="N52" i="143"/>
  <c r="K52" i="143" a="1"/>
  <c r="K52" i="143" s="1"/>
  <c r="Q21" i="258" s="1" a="1"/>
  <c r="Q21" i="258" s="1"/>
  <c r="F53" i="143"/>
  <c r="J53" i="143"/>
  <c r="G53" i="143"/>
  <c r="H53" i="143"/>
  <c r="I53" i="143"/>
  <c r="D54" i="143"/>
  <c r="E53" i="143"/>
  <c r="Q29" i="258" l="1"/>
  <c r="Q32" i="258"/>
  <c r="P29" i="258"/>
  <c r="P32" i="258"/>
  <c r="P62" i="145"/>
  <c r="P232" i="145"/>
  <c r="AB51" i="143"/>
  <c r="AC51" i="143" s="1"/>
  <c r="X52" i="143"/>
  <c r="AA52" i="143" s="1"/>
  <c r="Z52" i="143"/>
  <c r="Q53" i="143" a="1"/>
  <c r="Q53" i="143" s="1"/>
  <c r="P52" i="143"/>
  <c r="R52" i="143" s="1"/>
  <c r="Y52" i="143" s="1"/>
  <c r="O52" i="143"/>
  <c r="N53" i="143"/>
  <c r="K53" i="143" a="1"/>
  <c r="K53" i="143" s="1"/>
  <c r="F54" i="143"/>
  <c r="J54" i="143"/>
  <c r="I54" i="143"/>
  <c r="G54" i="143"/>
  <c r="D55" i="143"/>
  <c r="H54" i="143"/>
  <c r="E54" i="143"/>
  <c r="R21" i="258" l="1" a="1"/>
  <c r="R21" i="258" s="1"/>
  <c r="Q62" i="145"/>
  <c r="Q232" i="145"/>
  <c r="Z53" i="143"/>
  <c r="X53" i="143"/>
  <c r="AA53" i="143"/>
  <c r="AB52" i="143"/>
  <c r="AC52" i="143" s="1"/>
  <c r="P53" i="143"/>
  <c r="R53" i="143" s="1"/>
  <c r="Y53" i="143" s="1"/>
  <c r="O53" i="143"/>
  <c r="Q54" i="143" a="1"/>
  <c r="Q54" i="143" s="1"/>
  <c r="N54" i="143"/>
  <c r="K54" i="143" a="1"/>
  <c r="K54" i="143" s="1"/>
  <c r="F55" i="143"/>
  <c r="J55" i="143"/>
  <c r="D56" i="143"/>
  <c r="E55" i="143"/>
  <c r="I55" i="143"/>
  <c r="G55" i="143"/>
  <c r="H55" i="143"/>
  <c r="S21" i="258" l="1" a="1"/>
  <c r="S21" i="258" s="1"/>
  <c r="R29" i="258"/>
  <c r="R32" i="258"/>
  <c r="R62" i="145"/>
  <c r="R232" i="145"/>
  <c r="X54" i="143"/>
  <c r="Z54" i="143"/>
  <c r="AB53" i="143"/>
  <c r="AC53" i="143" s="1"/>
  <c r="AA54" i="143"/>
  <c r="Q55" i="143" a="1"/>
  <c r="Q55" i="143" s="1"/>
  <c r="P54" i="143"/>
  <c r="R54" i="143" s="1"/>
  <c r="Y54" i="143" s="1"/>
  <c r="O54" i="143"/>
  <c r="N55" i="143"/>
  <c r="K55" i="143" a="1"/>
  <c r="K55" i="143" s="1"/>
  <c r="F56" i="143"/>
  <c r="J56" i="143"/>
  <c r="I56" i="143"/>
  <c r="H56" i="143"/>
  <c r="D57" i="143"/>
  <c r="G56" i="143"/>
  <c r="E56" i="143"/>
  <c r="T21" i="258" l="1" a="1"/>
  <c r="T21" i="258" s="1"/>
  <c r="S29" i="258"/>
  <c r="S32" i="258"/>
  <c r="S62" i="145"/>
  <c r="S232" i="145"/>
  <c r="AA55" i="143"/>
  <c r="X55" i="143"/>
  <c r="Z55" i="143"/>
  <c r="AB54" i="143"/>
  <c r="AC54" i="143" s="1"/>
  <c r="P55" i="143"/>
  <c r="R55" i="143" s="1"/>
  <c r="Y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T32" i="258" l="1"/>
  <c r="T29" i="258"/>
  <c r="T62" i="145"/>
  <c r="T232" i="145"/>
  <c r="AA56" i="143"/>
  <c r="X56" i="143"/>
  <c r="AB55" i="143"/>
  <c r="AC55" i="143" s="1"/>
  <c r="Z56" i="143"/>
  <c r="Q57" i="143" a="1"/>
  <c r="Q57" i="143" s="1"/>
  <c r="Y56" i="143"/>
  <c r="P56" i="143"/>
  <c r="R56" i="143" s="1"/>
  <c r="O56" i="143"/>
  <c r="N57" i="143"/>
  <c r="K57" i="143" a="1"/>
  <c r="K57" i="143" s="1"/>
  <c r="V21" i="258" s="1" a="1"/>
  <c r="V21" i="258" s="1"/>
  <c r="F58" i="143"/>
  <c r="J58" i="143"/>
  <c r="E58" i="143"/>
  <c r="H58" i="143"/>
  <c r="I58" i="143"/>
  <c r="G58" i="143"/>
  <c r="D59" i="143"/>
  <c r="V29" i="258" l="1"/>
  <c r="V32" i="258"/>
  <c r="U62" i="145"/>
  <c r="U232" i="145"/>
  <c r="Q58" i="143" a="1"/>
  <c r="Q58" i="143" s="1"/>
  <c r="X57" i="143"/>
  <c r="AB56" i="143"/>
  <c r="AC56" i="143" s="1"/>
  <c r="Z57" i="143"/>
  <c r="Y57" i="143"/>
  <c r="AA57" i="143"/>
  <c r="P57" i="143"/>
  <c r="R57" i="143" s="1"/>
  <c r="O57" i="143"/>
  <c r="N58" i="143"/>
  <c r="K58" i="143" a="1"/>
  <c r="K58" i="143" s="1"/>
  <c r="F59" i="143"/>
  <c r="J59" i="143"/>
  <c r="G59" i="143"/>
  <c r="H59" i="143"/>
  <c r="D60" i="143"/>
  <c r="E59" i="143"/>
  <c r="I59" i="143"/>
  <c r="W21" i="258" l="1" a="1"/>
  <c r="W21" i="258" s="1"/>
  <c r="V62" i="145"/>
  <c r="V232" i="145"/>
  <c r="Y58" i="143"/>
  <c r="X58" i="143"/>
  <c r="AA58" i="143" s="1"/>
  <c r="Z58" i="143"/>
  <c r="AB57" i="143"/>
  <c r="AC57" i="143" s="1"/>
  <c r="Q59" i="143" a="1"/>
  <c r="Q59" i="143" s="1"/>
  <c r="P58" i="143"/>
  <c r="R58" i="143" s="1"/>
  <c r="O58" i="143"/>
  <c r="N59" i="143"/>
  <c r="K59" i="143" a="1"/>
  <c r="K59" i="143" s="1"/>
  <c r="F60" i="143"/>
  <c r="J60" i="143"/>
  <c r="D61" i="143"/>
  <c r="I60" i="143"/>
  <c r="E60" i="143"/>
  <c r="G60" i="143"/>
  <c r="H60" i="143"/>
  <c r="X21" i="258" l="1" a="1"/>
  <c r="X21" i="258" s="1"/>
  <c r="W29" i="258"/>
  <c r="W32" i="258"/>
  <c r="AB58" i="143"/>
  <c r="AC58" i="143" s="1"/>
  <c r="X59" i="143"/>
  <c r="AA59" i="143" s="1"/>
  <c r="Z59" i="143"/>
  <c r="Y59" i="143"/>
  <c r="P59" i="143"/>
  <c r="R59" i="143" s="1"/>
  <c r="O59" i="143"/>
  <c r="Q60" i="143" a="1"/>
  <c r="Q60" i="143" s="1"/>
  <c r="N60" i="143"/>
  <c r="K60" i="143" a="1"/>
  <c r="K60" i="143" s="1"/>
  <c r="F61" i="143"/>
  <c r="J61" i="143"/>
  <c r="I61" i="143"/>
  <c r="H61" i="143"/>
  <c r="D62" i="143"/>
  <c r="G61" i="143"/>
  <c r="E61" i="143"/>
  <c r="X29" i="258" l="1"/>
  <c r="X32" i="258"/>
  <c r="X60" i="143"/>
  <c r="AB59" i="143"/>
  <c r="AC59" i="143" s="1"/>
  <c r="Z60" i="143"/>
  <c r="Y60" i="143"/>
  <c r="AA60" i="143"/>
  <c r="P60" i="143"/>
  <c r="R60" i="143" s="1"/>
  <c r="O60" i="143"/>
  <c r="Q61" i="143" a="1"/>
  <c r="Q61" i="143" s="1"/>
  <c r="N61" i="143"/>
  <c r="K61" i="143" a="1"/>
  <c r="K61" i="143" s="1"/>
  <c r="F62" i="143"/>
  <c r="J62" i="143"/>
  <c r="D63" i="143"/>
  <c r="I62" i="143"/>
  <c r="E62" i="143"/>
  <c r="H62" i="143"/>
  <c r="G62" i="143"/>
  <c r="X61" i="143" l="1"/>
  <c r="Z61" i="143"/>
  <c r="AB60" i="143"/>
  <c r="AC60" i="143" s="1"/>
  <c r="Y61" i="143"/>
  <c r="AA61" i="143"/>
  <c r="P61" i="143"/>
  <c r="R61" i="143" s="1"/>
  <c r="O61" i="143"/>
  <c r="Q62" i="143" a="1"/>
  <c r="Q62" i="143" s="1"/>
  <c r="N62" i="143"/>
  <c r="K62" i="143" a="1"/>
  <c r="K62" i="143" s="1"/>
  <c r="F63" i="143"/>
  <c r="J63" i="143"/>
  <c r="D64" i="143"/>
  <c r="G63" i="143"/>
  <c r="H63" i="143"/>
  <c r="E63" i="143"/>
  <c r="I63" i="143"/>
  <c r="X62" i="143" l="1"/>
  <c r="Z62" i="143"/>
  <c r="AB61" i="143"/>
  <c r="AC61" i="143" s="1"/>
  <c r="Y62" i="143"/>
  <c r="AA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AB21" i="258" l="1" a="1"/>
  <c r="AB21" i="258" s="1"/>
  <c r="Z63" i="143"/>
  <c r="Q64" i="143" a="1"/>
  <c r="Q64" i="143" s="1"/>
  <c r="X63" i="143"/>
  <c r="Y63" i="143"/>
  <c r="AA63" i="143"/>
  <c r="AB62" i="143"/>
  <c r="AC62" i="143" s="1"/>
  <c r="P63" i="143"/>
  <c r="R63" i="143" s="1"/>
  <c r="O63" i="143"/>
  <c r="N64" i="143"/>
  <c r="K64" i="143" a="1"/>
  <c r="K64" i="143" s="1"/>
  <c r="AC21" i="258" s="1" a="1"/>
  <c r="AC21" i="258" s="1"/>
  <c r="F65" i="143"/>
  <c r="J65" i="143"/>
  <c r="G65" i="143"/>
  <c r="E65" i="143"/>
  <c r="I65" i="143"/>
  <c r="H65" i="143"/>
  <c r="D66" i="143"/>
  <c r="AC32" i="258" l="1"/>
  <c r="AC29" i="258"/>
  <c r="AB29" i="258"/>
  <c r="AB32" i="258"/>
  <c r="Z64" i="143"/>
  <c r="Q65" i="143" a="1"/>
  <c r="Q65" i="143" s="1"/>
  <c r="X64" i="143"/>
  <c r="Y64" i="143"/>
  <c r="AA64" i="143"/>
  <c r="AB63" i="143"/>
  <c r="AC63" i="143" s="1"/>
  <c r="P64" i="143"/>
  <c r="R64" i="143" s="1"/>
  <c r="O64" i="143"/>
  <c r="N65" i="143"/>
  <c r="K65" i="143" a="1"/>
  <c r="K65" i="143" s="1"/>
  <c r="F66" i="143"/>
  <c r="J66" i="143"/>
  <c r="D67" i="143"/>
  <c r="H66" i="143"/>
  <c r="G66" i="143"/>
  <c r="E66" i="143"/>
  <c r="I66" i="143"/>
  <c r="AD21" i="258" l="1" a="1"/>
  <c r="AD21" i="258" s="1"/>
  <c r="Z65" i="143"/>
  <c r="Y65" i="143"/>
  <c r="X65" i="143"/>
  <c r="AA65" i="143" s="1"/>
  <c r="AB64" i="143"/>
  <c r="AC64" i="143" s="1"/>
  <c r="Q66" i="143" a="1"/>
  <c r="Q66" i="143" s="1"/>
  <c r="P65" i="143"/>
  <c r="R65" i="143" s="1"/>
  <c r="O65" i="143"/>
  <c r="N66" i="143"/>
  <c r="K66" i="143" a="1"/>
  <c r="K66" i="143" s="1"/>
  <c r="F67" i="143"/>
  <c r="J67" i="143"/>
  <c r="H67" i="143"/>
  <c r="E67" i="143"/>
  <c r="I67" i="143"/>
  <c r="D68" i="143"/>
  <c r="G67" i="143"/>
  <c r="AE21" i="258" l="1" a="1"/>
  <c r="AE21" i="258" s="1"/>
  <c r="AD32" i="258"/>
  <c r="AD29" i="258"/>
  <c r="AB65" i="143"/>
  <c r="AC65" i="143" s="1"/>
  <c r="Z66" i="143"/>
  <c r="X66" i="143"/>
  <c r="AA66" i="143" s="1"/>
  <c r="Y66" i="143"/>
  <c r="Q67" i="143" a="1"/>
  <c r="Q67" i="143" s="1"/>
  <c r="P66" i="143"/>
  <c r="R66" i="143" s="1"/>
  <c r="O66" i="143"/>
  <c r="N67" i="143"/>
  <c r="K67" i="143" a="1"/>
  <c r="K67" i="143" s="1"/>
  <c r="F68" i="143"/>
  <c r="J68" i="143"/>
  <c r="H68" i="143"/>
  <c r="G68" i="143"/>
  <c r="D69" i="143"/>
  <c r="I68" i="143"/>
  <c r="E68" i="143"/>
  <c r="AE29" i="258" l="1"/>
  <c r="AE32" i="258"/>
  <c r="AF21" i="258" a="1"/>
  <c r="AF21" i="258" s="1"/>
  <c r="X67" i="143"/>
  <c r="Z67" i="143"/>
  <c r="AB66" i="143"/>
  <c r="AC66" i="143" s="1"/>
  <c r="Y67" i="143"/>
  <c r="AA67" i="143"/>
  <c r="P67" i="143"/>
  <c r="R67" i="143" s="1"/>
  <c r="O67" i="143"/>
  <c r="Q68" i="143" a="1"/>
  <c r="Q68" i="143" s="1"/>
  <c r="N68" i="143"/>
  <c r="K68" i="143" a="1"/>
  <c r="K68" i="143" s="1"/>
  <c r="F69" i="143"/>
  <c r="J69" i="143"/>
  <c r="H69" i="143"/>
  <c r="D70" i="143"/>
  <c r="I69" i="143"/>
  <c r="G69" i="143"/>
  <c r="E69" i="143"/>
  <c r="AG21" i="258" l="1" a="1"/>
  <c r="AG21" i="258" s="1"/>
  <c r="AF29" i="258"/>
  <c r="AF32" i="258"/>
  <c r="X68" i="143"/>
  <c r="Z68" i="143"/>
  <c r="AB67" i="143"/>
  <c r="AC67" i="143" s="1"/>
  <c r="Y68" i="143"/>
  <c r="AA68" i="143"/>
  <c r="P68" i="143"/>
  <c r="R68" i="143" s="1"/>
  <c r="O68" i="143"/>
  <c r="Q69" i="143" a="1"/>
  <c r="Q69" i="143" s="1"/>
  <c r="N69" i="143"/>
  <c r="K69" i="143" a="1"/>
  <c r="K69" i="143" s="1"/>
  <c r="F70" i="143"/>
  <c r="J70" i="143"/>
  <c r="E70" i="143"/>
  <c r="H70" i="143"/>
  <c r="G70" i="143"/>
  <c r="I70" i="143"/>
  <c r="D71" i="143"/>
  <c r="AG29" i="258" l="1"/>
  <c r="AG32" i="258"/>
  <c r="AH21" i="258" a="1"/>
  <c r="AH21" i="258" s="1"/>
  <c r="X69" i="143"/>
  <c r="Z69" i="143"/>
  <c r="AB68" i="143"/>
  <c r="AC68" i="143" s="1"/>
  <c r="AA69" i="143"/>
  <c r="Q70" i="143" a="1"/>
  <c r="Q70" i="143" s="1"/>
  <c r="P69" i="143"/>
  <c r="R69" i="143" s="1"/>
  <c r="Y69" i="143" s="1"/>
  <c r="O69" i="143"/>
  <c r="N70" i="143"/>
  <c r="K70" i="143" a="1"/>
  <c r="K70" i="143" s="1"/>
  <c r="F71" i="143"/>
  <c r="J71" i="143"/>
  <c r="I71" i="143"/>
  <c r="H71" i="143"/>
  <c r="G71" i="143"/>
  <c r="E71" i="143"/>
  <c r="D72" i="143"/>
  <c r="F21" i="257" l="1" a="1"/>
  <c r="F21" i="257" s="1"/>
  <c r="AH29" i="258"/>
  <c r="AH32" i="258"/>
  <c r="X70" i="143"/>
  <c r="Z70" i="143"/>
  <c r="Y70" i="143"/>
  <c r="AA70" i="143"/>
  <c r="AB69" i="143"/>
  <c r="AC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F29" i="257" l="1"/>
  <c r="F32" i="257"/>
  <c r="G21" i="257" a="1"/>
  <c r="G21" i="257" s="1"/>
  <c r="AA71" i="143"/>
  <c r="X71" i="143"/>
  <c r="Z71" i="143"/>
  <c r="AB70" i="143"/>
  <c r="AC70" i="143" s="1"/>
  <c r="Q72" i="143" a="1"/>
  <c r="Q72" i="143" s="1"/>
  <c r="Y71" i="143"/>
  <c r="P71" i="143"/>
  <c r="R71" i="143" s="1"/>
  <c r="O71" i="143"/>
  <c r="N72" i="143"/>
  <c r="K72" i="143" a="1"/>
  <c r="K72" i="143" s="1"/>
  <c r="F73" i="143"/>
  <c r="J73" i="143"/>
  <c r="I73" i="143"/>
  <c r="G73" i="143"/>
  <c r="E73" i="143"/>
  <c r="D74" i="143"/>
  <c r="H73" i="143"/>
  <c r="H21" i="257" l="1" a="1"/>
  <c r="H21" i="257" s="1"/>
  <c r="G29" i="257"/>
  <c r="G32" i="257"/>
  <c r="Y72" i="143"/>
  <c r="AB71" i="143"/>
  <c r="AC71" i="143" s="1"/>
  <c r="X72" i="143"/>
  <c r="AA72" i="143" s="1"/>
  <c r="Z72" i="143"/>
  <c r="P72" i="143"/>
  <c r="R72" i="143" s="1"/>
  <c r="O72" i="143"/>
  <c r="Q73" i="143" a="1"/>
  <c r="Q73" i="143" s="1"/>
  <c r="N73" i="143"/>
  <c r="K73" i="143" a="1"/>
  <c r="K73" i="143" s="1"/>
  <c r="F74" i="143"/>
  <c r="J74" i="143"/>
  <c r="G74" i="143"/>
  <c r="E74" i="143"/>
  <c r="I74" i="143"/>
  <c r="H74" i="143"/>
  <c r="D75" i="143"/>
  <c r="I21" i="257" l="1" a="1"/>
  <c r="I21" i="257" s="1"/>
  <c r="H29" i="257"/>
  <c r="H32" i="257"/>
  <c r="AB72" i="143"/>
  <c r="AC72" i="143" s="1"/>
  <c r="Z73" i="143"/>
  <c r="X73" i="143"/>
  <c r="Y73" i="143"/>
  <c r="AA73" i="143"/>
  <c r="Q74" i="143" a="1"/>
  <c r="Q74" i="143" s="1"/>
  <c r="P73" i="143"/>
  <c r="R73" i="143" s="1"/>
  <c r="O73" i="143"/>
  <c r="N74" i="143"/>
  <c r="K74" i="143" a="1"/>
  <c r="K74" i="143" s="1"/>
  <c r="F75" i="143"/>
  <c r="J75" i="143"/>
  <c r="D76" i="143"/>
  <c r="E75" i="143"/>
  <c r="I75" i="143"/>
  <c r="H75" i="143"/>
  <c r="G75" i="143"/>
  <c r="I29" i="257" l="1"/>
  <c r="I32" i="257"/>
  <c r="Z74" i="143"/>
  <c r="X74" i="143"/>
  <c r="AB73" i="143"/>
  <c r="AC73" i="143" s="1"/>
  <c r="Y74" i="143"/>
  <c r="AA74" i="143"/>
  <c r="Q75" i="143" a="1"/>
  <c r="Q75" i="143" s="1"/>
  <c r="P74" i="143"/>
  <c r="R74" i="143" s="1"/>
  <c r="O74" i="143"/>
  <c r="N75" i="143"/>
  <c r="K75" i="143" a="1"/>
  <c r="K75" i="143" s="1"/>
  <c r="F76" i="143"/>
  <c r="J76" i="143"/>
  <c r="D77" i="143"/>
  <c r="I76" i="143"/>
  <c r="E76" i="143"/>
  <c r="G76" i="143"/>
  <c r="H76" i="143"/>
  <c r="AA75" i="143" l="1"/>
  <c r="X75" i="143"/>
  <c r="Z75" i="143"/>
  <c r="AB74" i="143"/>
  <c r="AC74" i="143" s="1"/>
  <c r="Y75" i="143"/>
  <c r="P75" i="143"/>
  <c r="R75" i="143" s="1"/>
  <c r="O75" i="143"/>
  <c r="Q76" i="143" a="1"/>
  <c r="Q76" i="143" s="1"/>
  <c r="N76" i="143"/>
  <c r="K76" i="143" a="1"/>
  <c r="K76" i="143" s="1"/>
  <c r="F77" i="143"/>
  <c r="J77" i="143"/>
  <c r="D78" i="143"/>
  <c r="G77" i="143"/>
  <c r="E77" i="143"/>
  <c r="I77" i="143"/>
  <c r="H77" i="143"/>
  <c r="L21" i="257" l="1" a="1"/>
  <c r="L21" i="257" s="1"/>
  <c r="AA76" i="143"/>
  <c r="AB75" i="143"/>
  <c r="AC75" i="143" s="1"/>
  <c r="X76" i="143"/>
  <c r="Z76" i="143"/>
  <c r="Q77" i="143" a="1"/>
  <c r="Q77" i="143" s="1"/>
  <c r="Y76" i="143"/>
  <c r="P76" i="143"/>
  <c r="R76" i="143" s="1"/>
  <c r="O76" i="143"/>
  <c r="N77" i="143"/>
  <c r="K77" i="143" a="1"/>
  <c r="K77" i="143" s="1"/>
  <c r="F78" i="143"/>
  <c r="J78" i="143"/>
  <c r="I78" i="143"/>
  <c r="E78" i="143"/>
  <c r="H78" i="143"/>
  <c r="D79" i="143"/>
  <c r="G78" i="143"/>
  <c r="M21" i="257" l="1" a="1"/>
  <c r="M21" i="257" s="1"/>
  <c r="L32" i="257"/>
  <c r="L29" i="257"/>
  <c r="AB76" i="143"/>
  <c r="AC76" i="143" s="1"/>
  <c r="Z77" i="143"/>
  <c r="X77" i="143"/>
  <c r="Y77" i="143"/>
  <c r="AA77" i="143"/>
  <c r="Q78" i="143" a="1"/>
  <c r="Q78" i="143" s="1"/>
  <c r="P77" i="143"/>
  <c r="R77" i="143" s="1"/>
  <c r="O77" i="143"/>
  <c r="N78" i="143"/>
  <c r="K78" i="143" a="1"/>
  <c r="K78" i="143" s="1"/>
  <c r="F79" i="143"/>
  <c r="J79" i="143"/>
  <c r="I79" i="143"/>
  <c r="H79" i="143"/>
  <c r="D80" i="143"/>
  <c r="E79" i="143"/>
  <c r="G79" i="143"/>
  <c r="N21" i="257" l="1" a="1"/>
  <c r="N21" i="257" s="1"/>
  <c r="M29" i="257"/>
  <c r="M32" i="257"/>
  <c r="Z78" i="143"/>
  <c r="X78" i="143"/>
  <c r="Y78" i="143"/>
  <c r="AA78" i="143"/>
  <c r="AB77" i="143"/>
  <c r="AC77" i="143" s="1"/>
  <c r="Q79" i="143" a="1"/>
  <c r="Q79" i="143" s="1"/>
  <c r="P78" i="143"/>
  <c r="R78" i="143" s="1"/>
  <c r="O78" i="143"/>
  <c r="N79" i="143"/>
  <c r="K79" i="143" a="1"/>
  <c r="K79" i="143" s="1"/>
  <c r="F80" i="143"/>
  <c r="J80" i="143"/>
  <c r="D81" i="143"/>
  <c r="E80" i="143"/>
  <c r="I80" i="143"/>
  <c r="H80" i="143"/>
  <c r="G80" i="143"/>
  <c r="N29" i="257" l="1"/>
  <c r="N32" i="257"/>
  <c r="O21" i="257" a="1"/>
  <c r="O21" i="257" s="1"/>
  <c r="Q80" i="143" a="1"/>
  <c r="Q80" i="143" s="1"/>
  <c r="Y79" i="143"/>
  <c r="Z79" i="143"/>
  <c r="X79" i="143"/>
  <c r="AA79" i="143" s="1"/>
  <c r="AB78" i="143"/>
  <c r="AC78" i="143" s="1"/>
  <c r="P79" i="143"/>
  <c r="R79" i="143" s="1"/>
  <c r="O79" i="143"/>
  <c r="N80" i="143"/>
  <c r="K80" i="143" a="1"/>
  <c r="K80" i="143" s="1"/>
  <c r="F81" i="143"/>
  <c r="J81" i="143"/>
  <c r="H81" i="143"/>
  <c r="D82" i="143"/>
  <c r="I81" i="143"/>
  <c r="G81" i="143"/>
  <c r="E81" i="143"/>
  <c r="O29" i="257" l="1"/>
  <c r="O32" i="257"/>
  <c r="P21" i="257" a="1"/>
  <c r="P21" i="257" s="1"/>
  <c r="AB79" i="143"/>
  <c r="AC79" i="143" s="1"/>
  <c r="Z80" i="143"/>
  <c r="X80" i="143"/>
  <c r="AA80" i="143" s="1"/>
  <c r="Y80" i="143"/>
  <c r="Q81" i="143" a="1"/>
  <c r="Q81" i="143" s="1"/>
  <c r="P80" i="143"/>
  <c r="R80" i="143" s="1"/>
  <c r="O80" i="143"/>
  <c r="N81" i="143"/>
  <c r="K81" i="143" a="1"/>
  <c r="K81" i="143" s="1"/>
  <c r="F82" i="143"/>
  <c r="J82" i="143"/>
  <c r="H82" i="143"/>
  <c r="I82" i="143"/>
  <c r="D83" i="143"/>
  <c r="G82" i="143"/>
  <c r="E82" i="143"/>
  <c r="Q21" i="257" l="1" a="1"/>
  <c r="Q21" i="257" s="1"/>
  <c r="P32" i="257"/>
  <c r="P29" i="257"/>
  <c r="AA81" i="143"/>
  <c r="Z81" i="143"/>
  <c r="X81" i="143"/>
  <c r="AB80" i="143"/>
  <c r="AC80" i="143" s="1"/>
  <c r="P81" i="143"/>
  <c r="R81" i="143" s="1"/>
  <c r="Y81" i="143" s="1"/>
  <c r="O81" i="143"/>
  <c r="Q82" i="143" a="1"/>
  <c r="Q82" i="143" s="1"/>
  <c r="N82" i="143"/>
  <c r="K82" i="143" a="1"/>
  <c r="K82" i="143" s="1"/>
  <c r="F83" i="143"/>
  <c r="J83" i="143"/>
  <c r="H83" i="143"/>
  <c r="D84" i="143"/>
  <c r="E83" i="143"/>
  <c r="G83" i="143"/>
  <c r="I83" i="143"/>
  <c r="Q29" i="257" l="1"/>
  <c r="Q32" i="257"/>
  <c r="R21" i="257" a="1"/>
  <c r="R21" i="257" s="1"/>
  <c r="AB81" i="143"/>
  <c r="AC81" i="143" s="1"/>
  <c r="X82" i="143"/>
  <c r="Z82" i="143"/>
  <c r="AA82" i="143"/>
  <c r="Q83" i="143" a="1"/>
  <c r="Q83" i="143" s="1"/>
  <c r="P82" i="143"/>
  <c r="R82" i="143" s="1"/>
  <c r="Y82" i="143" s="1"/>
  <c r="O82" i="143"/>
  <c r="N83" i="143"/>
  <c r="K83" i="143" a="1"/>
  <c r="K83" i="143" s="1"/>
  <c r="F84" i="143"/>
  <c r="J84" i="143"/>
  <c r="G84" i="143"/>
  <c r="H84" i="143"/>
  <c r="I84" i="143"/>
  <c r="E84" i="143"/>
  <c r="D85" i="143"/>
  <c r="R29" i="257" l="1"/>
  <c r="R32" i="257"/>
  <c r="S21" i="257" a="1"/>
  <c r="S21" i="257" s="1"/>
  <c r="Z83" i="143"/>
  <c r="X83" i="143"/>
  <c r="AA83" i="143" s="1"/>
  <c r="AB82" i="143"/>
  <c r="AC82" i="143" s="1"/>
  <c r="P83" i="143"/>
  <c r="R83" i="143" s="1"/>
  <c r="Y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S29" i="257" l="1"/>
  <c r="S32" i="257"/>
  <c r="AB83" i="143"/>
  <c r="AC83" i="143" s="1"/>
  <c r="X84" i="143"/>
  <c r="AA84" i="143" s="1"/>
  <c r="Z84" i="143"/>
  <c r="Q85" i="143" a="1"/>
  <c r="Q85" i="143" s="1"/>
  <c r="P84" i="143"/>
  <c r="R84" i="143" s="1"/>
  <c r="Y84" i="143" s="1"/>
  <c r="O84" i="143"/>
  <c r="N85" i="143"/>
  <c r="K85" i="143" a="1"/>
  <c r="K85" i="143" s="1"/>
  <c r="F86" i="143"/>
  <c r="J86" i="143"/>
  <c r="G86" i="143"/>
  <c r="E86" i="143"/>
  <c r="I86" i="143"/>
  <c r="D87" i="143"/>
  <c r="H86" i="143"/>
  <c r="U21" i="257" l="1" a="1"/>
  <c r="U21" i="257" s="1"/>
  <c r="Q86" i="143" a="1"/>
  <c r="Q86" i="143" s="1"/>
  <c r="AA85" i="143"/>
  <c r="AB84" i="143"/>
  <c r="AC84" i="143" s="1"/>
  <c r="X85" i="143"/>
  <c r="Z85" i="143"/>
  <c r="Y85" i="143"/>
  <c r="P85" i="143"/>
  <c r="R85" i="143" s="1"/>
  <c r="O85" i="143"/>
  <c r="N86" i="143"/>
  <c r="K86" i="143" a="1"/>
  <c r="K86" i="143" s="1"/>
  <c r="V21" i="257" s="1" a="1"/>
  <c r="V21" i="257" s="1"/>
  <c r="F87" i="143"/>
  <c r="J87" i="143"/>
  <c r="E87" i="143"/>
  <c r="G87" i="143"/>
  <c r="I87" i="143"/>
  <c r="H87" i="143"/>
  <c r="D88" i="143"/>
  <c r="V29" i="257" l="1"/>
  <c r="V32" i="257"/>
  <c r="U29" i="257"/>
  <c r="U32" i="257"/>
  <c r="AB85" i="143"/>
  <c r="AC85" i="143" s="1"/>
  <c r="Z86" i="143"/>
  <c r="X86" i="143"/>
  <c r="AA86" i="143" s="1"/>
  <c r="Q87" i="143" a="1"/>
  <c r="Q87" i="143" s="1"/>
  <c r="Y86" i="143"/>
  <c r="P86" i="143"/>
  <c r="R86" i="143" s="1"/>
  <c r="O86" i="143"/>
  <c r="N87" i="143"/>
  <c r="K87" i="143" a="1"/>
  <c r="K87" i="143" s="1"/>
  <c r="F88" i="143"/>
  <c r="J88" i="143"/>
  <c r="D89" i="143"/>
  <c r="E88" i="143"/>
  <c r="G88" i="143"/>
  <c r="I88" i="143"/>
  <c r="H88" i="143"/>
  <c r="W21" i="257" l="1" a="1"/>
  <c r="W21" i="257" s="1"/>
  <c r="X87" i="143"/>
  <c r="AA87" i="143" s="1"/>
  <c r="Z87" i="143"/>
  <c r="AB86" i="143"/>
  <c r="AC86" i="143" s="1"/>
  <c r="Y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X21" i="257" l="1" a="1"/>
  <c r="X21" i="257" s="1"/>
  <c r="W29" i="257"/>
  <c r="W32" i="257"/>
  <c r="X88" i="143"/>
  <c r="Z88" i="143"/>
  <c r="Y88" i="143"/>
  <c r="AA88" i="143"/>
  <c r="AB87" i="143"/>
  <c r="AC87" i="143" s="1"/>
  <c r="Q89" i="143" a="1"/>
  <c r="Q89" i="143" s="1"/>
  <c r="P88" i="143"/>
  <c r="R88" i="143" s="1"/>
  <c r="O88" i="143"/>
  <c r="N89" i="143"/>
  <c r="K89" i="143" a="1"/>
  <c r="K89" i="143" s="1"/>
  <c r="F90" i="143"/>
  <c r="J90" i="143"/>
  <c r="D91" i="143"/>
  <c r="I90" i="143"/>
  <c r="E90" i="143"/>
  <c r="H90" i="143"/>
  <c r="G90" i="143"/>
  <c r="Y21" i="257" l="1" a="1"/>
  <c r="Y21" i="257" s="1"/>
  <c r="X29" i="257"/>
  <c r="X32" i="257"/>
  <c r="AA89" i="143"/>
  <c r="X89" i="143"/>
  <c r="Z89" i="143"/>
  <c r="AB88" i="143"/>
  <c r="AC88" i="143" s="1"/>
  <c r="Y89" i="143"/>
  <c r="Q90" i="143" a="1"/>
  <c r="Q90" i="143" s="1"/>
  <c r="P89" i="143"/>
  <c r="R89" i="143" s="1"/>
  <c r="O89" i="143"/>
  <c r="N90" i="143"/>
  <c r="K90" i="143" a="1"/>
  <c r="K90" i="143" s="1"/>
  <c r="F91" i="143"/>
  <c r="J91" i="143"/>
  <c r="H91" i="143"/>
  <c r="E91" i="143"/>
  <c r="I91" i="143"/>
  <c r="D92" i="143"/>
  <c r="G91" i="143"/>
  <c r="Y29" i="257" l="1"/>
  <c r="Y32" i="257"/>
  <c r="AA90" i="143"/>
  <c r="Q91" i="143" a="1"/>
  <c r="Q91" i="143" s="1"/>
  <c r="AB89" i="143"/>
  <c r="AC89" i="143" s="1"/>
  <c r="X90" i="143"/>
  <c r="Z90" i="143"/>
  <c r="Y90" i="143"/>
  <c r="P90" i="143"/>
  <c r="R90" i="143" s="1"/>
  <c r="O90" i="143"/>
  <c r="N91" i="143"/>
  <c r="K91" i="143" a="1"/>
  <c r="K91" i="143" s="1"/>
  <c r="F92" i="143"/>
  <c r="J92" i="143"/>
  <c r="I92" i="143"/>
  <c r="G92" i="143"/>
  <c r="H92" i="143"/>
  <c r="E92" i="143"/>
  <c r="D93" i="143"/>
  <c r="AA21" i="257" l="1" a="1"/>
  <c r="AA21" i="257" s="1"/>
  <c r="AA91" i="143"/>
  <c r="Z91" i="143"/>
  <c r="AB90" i="143"/>
  <c r="AC90" i="143" s="1"/>
  <c r="X91" i="143"/>
  <c r="Y91" i="143"/>
  <c r="P91" i="143"/>
  <c r="R91" i="143" s="1"/>
  <c r="O91" i="143"/>
  <c r="Q92" i="143" a="1"/>
  <c r="Q92" i="143" s="1"/>
  <c r="N92" i="143"/>
  <c r="K92" i="143" a="1"/>
  <c r="K92" i="143" s="1"/>
  <c r="F93" i="143"/>
  <c r="J93" i="143"/>
  <c r="D94" i="143"/>
  <c r="G93" i="143"/>
  <c r="H93" i="143"/>
  <c r="E93" i="143"/>
  <c r="I93" i="143"/>
  <c r="AB21" i="257" l="1" a="1"/>
  <c r="AB21" i="257" s="1"/>
  <c r="AA29" i="257"/>
  <c r="AA32" i="257"/>
  <c r="AB91" i="143"/>
  <c r="AC91" i="143" s="1"/>
  <c r="AA92" i="143"/>
  <c r="Z92" i="143"/>
  <c r="X92" i="143"/>
  <c r="Q93" i="143" a="1"/>
  <c r="Q93" i="143" s="1"/>
  <c r="Y92" i="143"/>
  <c r="P92" i="143"/>
  <c r="R92" i="143" s="1"/>
  <c r="O92" i="143"/>
  <c r="N93" i="143"/>
  <c r="K93" i="143" a="1"/>
  <c r="K93" i="143" s="1"/>
  <c r="F94" i="143"/>
  <c r="J94" i="143"/>
  <c r="I94" i="143"/>
  <c r="E94" i="143"/>
  <c r="D95" i="143"/>
  <c r="G94" i="143"/>
  <c r="H94" i="143"/>
  <c r="AC21" i="257" l="1" a="1"/>
  <c r="AC21" i="257" s="1"/>
  <c r="AB32" i="257"/>
  <c r="AB29" i="257"/>
  <c r="AB92" i="143"/>
  <c r="AC92" i="143" s="1"/>
  <c r="Y93" i="143"/>
  <c r="Z93" i="143"/>
  <c r="X93" i="143"/>
  <c r="AA93" i="143" s="1"/>
  <c r="P93" i="143"/>
  <c r="R93" i="143" s="1"/>
  <c r="O93" i="143"/>
  <c r="Q94" i="143" a="1"/>
  <c r="Q94" i="143" s="1"/>
  <c r="N94" i="143"/>
  <c r="K94" i="143" a="1"/>
  <c r="K94" i="143" s="1"/>
  <c r="F95" i="143"/>
  <c r="J95" i="143"/>
  <c r="D96" i="143"/>
  <c r="I95" i="143"/>
  <c r="E95" i="143"/>
  <c r="G95" i="143"/>
  <c r="H95" i="143"/>
  <c r="AC32" i="257" l="1"/>
  <c r="AC29" i="257"/>
  <c r="AD21" i="257" a="1"/>
  <c r="AD21" i="257" s="1"/>
  <c r="AB93" i="143"/>
  <c r="AC93" i="143" s="1"/>
  <c r="X94" i="143"/>
  <c r="AA94" i="143" s="1"/>
  <c r="Z94" i="143"/>
  <c r="Y94" i="143"/>
  <c r="P94" i="143"/>
  <c r="R94" i="143" s="1"/>
  <c r="O94" i="143"/>
  <c r="Q95" i="143" a="1"/>
  <c r="Q95" i="143" s="1"/>
  <c r="N95" i="143"/>
  <c r="K95" i="143" a="1"/>
  <c r="K95" i="143" s="1"/>
  <c r="F96" i="143"/>
  <c r="J96" i="143"/>
  <c r="G96" i="143"/>
  <c r="I96" i="143"/>
  <c r="D97" i="143"/>
  <c r="H96" i="143"/>
  <c r="E96" i="143"/>
  <c r="AD29" i="257" l="1"/>
  <c r="AD32" i="257"/>
  <c r="AA95" i="143"/>
  <c r="Z95" i="143"/>
  <c r="AB94" i="143"/>
  <c r="AC94" i="143" s="1"/>
  <c r="X95" i="143"/>
  <c r="Q96" i="143" a="1"/>
  <c r="Q96" i="143" s="1"/>
  <c r="Y95" i="143"/>
  <c r="P95" i="143"/>
  <c r="R95" i="143" s="1"/>
  <c r="O95" i="143"/>
  <c r="N96" i="143"/>
  <c r="K96" i="143" a="1"/>
  <c r="K96" i="143" s="1"/>
  <c r="F97" i="143"/>
  <c r="J97" i="143"/>
  <c r="D98" i="143"/>
  <c r="G97" i="143"/>
  <c r="I97" i="143"/>
  <c r="E97" i="143"/>
  <c r="H97" i="143"/>
  <c r="AF21" i="257" l="1" a="1"/>
  <c r="AF21" i="257" s="1"/>
  <c r="AB95" i="143"/>
  <c r="AC95" i="143" s="1"/>
  <c r="AA96" i="143"/>
  <c r="X96" i="143"/>
  <c r="Z96" i="143"/>
  <c r="Y96" i="143"/>
  <c r="P96" i="143"/>
  <c r="R96" i="143" s="1"/>
  <c r="O96" i="143"/>
  <c r="Q97" i="143" a="1"/>
  <c r="Q97" i="143" s="1"/>
  <c r="N97" i="143"/>
  <c r="K97" i="143" a="1"/>
  <c r="K97" i="143" s="1"/>
  <c r="F98" i="143"/>
  <c r="J98" i="143"/>
  <c r="D99" i="143"/>
  <c r="G98" i="143"/>
  <c r="H98" i="143"/>
  <c r="I98" i="143"/>
  <c r="E98" i="143"/>
  <c r="AF29" i="257" l="1"/>
  <c r="AF32" i="257"/>
  <c r="AB96" i="143"/>
  <c r="AC96" i="143" s="1"/>
  <c r="Z97" i="143"/>
  <c r="X97" i="143"/>
  <c r="Y97" i="143"/>
  <c r="AA97" i="143"/>
  <c r="Q98" i="143" a="1"/>
  <c r="Q98" i="143" s="1"/>
  <c r="P97" i="143"/>
  <c r="R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AH21" i="257" l="1" a="1"/>
  <c r="AH21" i="257" s="1"/>
  <c r="Z98" i="143"/>
  <c r="X98" i="143"/>
  <c r="AA98" i="143" s="1"/>
  <c r="AB97" i="143"/>
  <c r="AC97" i="143" s="1"/>
  <c r="Q99" i="143" a="1"/>
  <c r="Q99" i="143" s="1"/>
  <c r="P98" i="143"/>
  <c r="R98" i="143" s="1"/>
  <c r="Y98" i="143" s="1"/>
  <c r="O98" i="143"/>
  <c r="N99" i="143"/>
  <c r="K99" i="143" a="1"/>
  <c r="K99" i="143" s="1"/>
  <c r="F100" i="143"/>
  <c r="J100" i="143"/>
  <c r="G100" i="143"/>
  <c r="I100" i="143"/>
  <c r="E100" i="143"/>
  <c r="H100" i="143"/>
  <c r="D101" i="143"/>
  <c r="AH29" i="257" l="1"/>
  <c r="AH32" i="257"/>
  <c r="AB98" i="143"/>
  <c r="AC98" i="143" s="1"/>
  <c r="X99" i="143"/>
  <c r="Z99" i="143"/>
  <c r="Y99" i="143"/>
  <c r="AA99" i="143"/>
  <c r="P99" i="143"/>
  <c r="R99" i="143" s="1"/>
  <c r="O99" i="143"/>
  <c r="Q100" i="143" a="1"/>
  <c r="Q100" i="143" s="1"/>
  <c r="N100" i="143"/>
  <c r="K100" i="143" a="1"/>
  <c r="K100" i="143" s="1"/>
  <c r="F101" i="143"/>
  <c r="J101" i="143"/>
  <c r="G101" i="143"/>
  <c r="I101" i="143"/>
  <c r="E101" i="143"/>
  <c r="H101" i="143"/>
  <c r="D102" i="143"/>
  <c r="AJ21" i="257" l="1" a="1"/>
  <c r="AJ21" i="257" s="1"/>
  <c r="Y100" i="143"/>
  <c r="X100" i="143"/>
  <c r="AA100" i="143" s="1"/>
  <c r="Z100" i="143"/>
  <c r="AB99" i="143"/>
  <c r="AC99" i="143" s="1"/>
  <c r="Q101" i="143" a="1"/>
  <c r="Q101" i="143" s="1"/>
  <c r="P100" i="143"/>
  <c r="R100" i="143" s="1"/>
  <c r="O100" i="143"/>
  <c r="N101" i="143"/>
  <c r="K101" i="143" a="1"/>
  <c r="K101" i="143" s="1"/>
  <c r="F21" i="256" s="1" a="1"/>
  <c r="F21" i="256" s="1"/>
  <c r="F102" i="143"/>
  <c r="J102" i="143"/>
  <c r="I102" i="143"/>
  <c r="H102" i="143"/>
  <c r="D103" i="143"/>
  <c r="G102" i="143"/>
  <c r="E102" i="143"/>
  <c r="F32" i="256" l="1"/>
  <c r="F29" i="256"/>
  <c r="AJ29" i="257"/>
  <c r="AJ32" i="257"/>
  <c r="AB100" i="143"/>
  <c r="AC100" i="143" s="1"/>
  <c r="X101" i="143"/>
  <c r="AA101" i="143" s="1"/>
  <c r="Z101" i="143"/>
  <c r="P101" i="143"/>
  <c r="R101" i="143" s="1"/>
  <c r="Y101" i="143" s="1"/>
  <c r="O101" i="143"/>
  <c r="Q102" i="143" a="1"/>
  <c r="Q102" i="143" s="1"/>
  <c r="N102" i="143"/>
  <c r="K102" i="143" a="1"/>
  <c r="K102" i="143" s="1"/>
  <c r="G21" i="256" s="1" a="1"/>
  <c r="G21" i="256" s="1"/>
  <c r="F103" i="143"/>
  <c r="J103" i="143"/>
  <c r="G103" i="143"/>
  <c r="E103" i="143"/>
  <c r="H103" i="143"/>
  <c r="I103" i="143"/>
  <c r="D104" i="143"/>
  <c r="G29" i="256" l="1"/>
  <c r="G32" i="256"/>
  <c r="AA102" i="143"/>
  <c r="Q103" i="143" a="1"/>
  <c r="Q103" i="143" s="1"/>
  <c r="AB101" i="143"/>
  <c r="AC101" i="143" s="1"/>
  <c r="X102" i="143"/>
  <c r="Z102" i="143"/>
  <c r="Y102" i="143"/>
  <c r="P102" i="143"/>
  <c r="R102" i="143" s="1"/>
  <c r="O102" i="143"/>
  <c r="N103" i="143"/>
  <c r="K103" i="143" a="1"/>
  <c r="K103" i="143" s="1"/>
  <c r="H21" i="256" s="1" a="1"/>
  <c r="H21" i="256" s="1"/>
  <c r="F104" i="143"/>
  <c r="J104" i="143"/>
  <c r="H104" i="143"/>
  <c r="D105" i="143"/>
  <c r="E104" i="143"/>
  <c r="G104" i="143"/>
  <c r="I104" i="143"/>
  <c r="H32" i="256" l="1"/>
  <c r="H29" i="256"/>
  <c r="X103" i="143"/>
  <c r="AA103" i="143"/>
  <c r="Z103" i="143"/>
  <c r="AB102" i="143"/>
  <c r="AC102" i="143" s="1"/>
  <c r="Q104" i="143" a="1"/>
  <c r="Q104" i="143" s="1"/>
  <c r="Y103" i="143"/>
  <c r="P103" i="143"/>
  <c r="R103" i="143" s="1"/>
  <c r="O103" i="143"/>
  <c r="N104" i="143"/>
  <c r="K104" i="143" a="1"/>
  <c r="K104" i="143" s="1"/>
  <c r="I21" i="256" s="1" a="1"/>
  <c r="I21" i="256" s="1"/>
  <c r="F105" i="143"/>
  <c r="J105" i="143"/>
  <c r="G105" i="143"/>
  <c r="I105" i="143"/>
  <c r="E105" i="143"/>
  <c r="H105" i="143"/>
  <c r="D106" i="143"/>
  <c r="I29" i="256" l="1"/>
  <c r="I32" i="256"/>
  <c r="AB103" i="143"/>
  <c r="AC103" i="143" s="1"/>
  <c r="X104" i="143"/>
  <c r="Z104" i="143"/>
  <c r="Y104" i="143"/>
  <c r="AA104" i="143"/>
  <c r="P104" i="143"/>
  <c r="R104" i="143" s="1"/>
  <c r="O104" i="143"/>
  <c r="Q105" i="143" a="1"/>
  <c r="Q105" i="143" s="1"/>
  <c r="N105" i="143"/>
  <c r="K105" i="143" a="1"/>
  <c r="K105" i="143" s="1"/>
  <c r="F106" i="143"/>
  <c r="J106" i="143"/>
  <c r="E106" i="143"/>
  <c r="G106" i="143"/>
  <c r="I106" i="143"/>
  <c r="H106" i="143"/>
  <c r="D107" i="143"/>
  <c r="AA105" i="143" l="1"/>
  <c r="X105" i="143"/>
  <c r="Z105" i="143"/>
  <c r="AB104" i="143"/>
  <c r="AC104" i="143" s="1"/>
  <c r="Q106" i="143" a="1"/>
  <c r="Q106" i="143" s="1"/>
  <c r="Y105" i="143"/>
  <c r="P105" i="143"/>
  <c r="R105" i="143" s="1"/>
  <c r="O105" i="143"/>
  <c r="N106" i="143"/>
  <c r="K106" i="143" a="1"/>
  <c r="K106" i="143" s="1"/>
  <c r="F107" i="143"/>
  <c r="J107" i="143"/>
  <c r="D108" i="143"/>
  <c r="H107" i="143"/>
  <c r="E107" i="143"/>
  <c r="I107" i="143"/>
  <c r="G107" i="143"/>
  <c r="AA106" i="143" l="1"/>
  <c r="X106" i="143"/>
  <c r="AB105" i="143"/>
  <c r="AC105" i="143" s="1"/>
  <c r="Z106" i="143"/>
  <c r="Q107" i="143" a="1"/>
  <c r="Q107" i="143" s="1"/>
  <c r="Y106" i="143"/>
  <c r="P106" i="143"/>
  <c r="R106" i="143" s="1"/>
  <c r="O106" i="143"/>
  <c r="N107" i="143"/>
  <c r="K107" i="143" a="1"/>
  <c r="K107" i="143" s="1"/>
  <c r="L21" i="256" s="1" a="1"/>
  <c r="L21" i="256" s="1"/>
  <c r="F108" i="143"/>
  <c r="J108" i="143"/>
  <c r="H108" i="143"/>
  <c r="G108" i="143"/>
  <c r="D109" i="143"/>
  <c r="I108" i="143"/>
  <c r="E108" i="143"/>
  <c r="L29" i="256" l="1"/>
  <c r="L32" i="256"/>
  <c r="Y107" i="143"/>
  <c r="X107" i="143"/>
  <c r="AA107" i="143" s="1"/>
  <c r="AB106" i="143"/>
  <c r="AC106" i="143" s="1"/>
  <c r="Z107" i="143"/>
  <c r="P107" i="143"/>
  <c r="R107" i="143" s="1"/>
  <c r="O107" i="143"/>
  <c r="Q108" i="143" a="1"/>
  <c r="Q108" i="143" s="1"/>
  <c r="N108" i="143"/>
  <c r="K108" i="143" a="1"/>
  <c r="K108" i="143" s="1"/>
  <c r="M21" i="256" s="1" a="1"/>
  <c r="M21" i="256" s="1"/>
  <c r="F109" i="143"/>
  <c r="J109" i="143"/>
  <c r="I109" i="143"/>
  <c r="H109" i="143"/>
  <c r="D110" i="143"/>
  <c r="E109" i="143"/>
  <c r="G109" i="143"/>
  <c r="M32" i="256" l="1"/>
  <c r="M29" i="256"/>
  <c r="AB107" i="143"/>
  <c r="AC107" i="143" s="1"/>
  <c r="X108" i="143"/>
  <c r="AA108" i="143" s="1"/>
  <c r="Z108" i="143"/>
  <c r="Y108" i="143"/>
  <c r="P108" i="143"/>
  <c r="R108" i="143" s="1"/>
  <c r="O108" i="143"/>
  <c r="Q109" i="143" a="1"/>
  <c r="Q109" i="143" s="1"/>
  <c r="N109" i="143"/>
  <c r="K109" i="143" a="1"/>
  <c r="K109" i="143" s="1"/>
  <c r="N21" i="256" s="1" a="1"/>
  <c r="N21" i="256" s="1"/>
  <c r="F110" i="143"/>
  <c r="J110" i="143"/>
  <c r="D111" i="143"/>
  <c r="G110" i="143"/>
  <c r="E110" i="143"/>
  <c r="H110" i="143"/>
  <c r="I110" i="143"/>
  <c r="N32" i="256" l="1"/>
  <c r="N29" i="256"/>
  <c r="X109" i="143"/>
  <c r="Z109" i="143"/>
  <c r="AB108" i="143"/>
  <c r="AC108" i="143" s="1"/>
  <c r="Y109" i="143"/>
  <c r="AA109" i="143"/>
  <c r="Q110" i="143" a="1"/>
  <c r="Q110" i="143" s="1"/>
  <c r="P109" i="143"/>
  <c r="R109" i="143" s="1"/>
  <c r="O109" i="143"/>
  <c r="N110" i="143"/>
  <c r="K110" i="143" a="1"/>
  <c r="K110" i="143" s="1"/>
  <c r="O21" i="256" s="1" a="1"/>
  <c r="O21" i="256" s="1"/>
  <c r="F111" i="143"/>
  <c r="J111" i="143"/>
  <c r="D112" i="143"/>
  <c r="I111" i="143"/>
  <c r="E111" i="143"/>
  <c r="H111" i="143"/>
  <c r="G111" i="143"/>
  <c r="O29" i="256" l="1"/>
  <c r="O32" i="256"/>
  <c r="X110" i="143"/>
  <c r="Z110" i="143"/>
  <c r="AB109" i="143"/>
  <c r="AC109" i="143" s="1"/>
  <c r="Y110" i="143"/>
  <c r="AA110" i="143"/>
  <c r="Q111" i="143" a="1"/>
  <c r="Q111" i="143" s="1"/>
  <c r="P110" i="143"/>
  <c r="R110" i="143" s="1"/>
  <c r="O110" i="143"/>
  <c r="N111" i="143"/>
  <c r="K111" i="143" a="1"/>
  <c r="K111" i="143" s="1"/>
  <c r="P21" i="256" s="1" a="1"/>
  <c r="P21" i="256" s="1"/>
  <c r="F112" i="143"/>
  <c r="J112" i="143"/>
  <c r="E112" i="143"/>
  <c r="D113" i="143"/>
  <c r="H112" i="143"/>
  <c r="I112" i="143"/>
  <c r="G112" i="143"/>
  <c r="P29" i="256" l="1"/>
  <c r="P32" i="256"/>
  <c r="Z111" i="143"/>
  <c r="X111" i="143"/>
  <c r="Y111" i="143"/>
  <c r="AA111" i="143"/>
  <c r="AB110" i="143"/>
  <c r="AC110" i="143" s="1"/>
  <c r="Q112" i="143" a="1"/>
  <c r="Q112" i="143" s="1"/>
  <c r="P111" i="143"/>
  <c r="R111" i="143" s="1"/>
  <c r="O111" i="143"/>
  <c r="N112" i="143"/>
  <c r="K112" i="143" a="1"/>
  <c r="K112" i="143" s="1"/>
  <c r="Q21" i="256" s="1" a="1"/>
  <c r="Q21" i="256" s="1"/>
  <c r="F113" i="143"/>
  <c r="J113" i="143"/>
  <c r="G113" i="143"/>
  <c r="I113" i="143"/>
  <c r="E113" i="143"/>
  <c r="H113" i="143"/>
  <c r="D114" i="143"/>
  <c r="Q29" i="256" l="1"/>
  <c r="Q32" i="256"/>
  <c r="AA112" i="143"/>
  <c r="X112" i="143"/>
  <c r="F114" i="143"/>
  <c r="E114" i="143"/>
  <c r="J114" i="143"/>
  <c r="G114" i="143"/>
  <c r="D115" i="143"/>
  <c r="H114" i="143"/>
  <c r="I114" i="143"/>
  <c r="Z112" i="143"/>
  <c r="AB111" i="143"/>
  <c r="AC111" i="143" s="1"/>
  <c r="Y112" i="143"/>
  <c r="Q113" i="143" a="1"/>
  <c r="Q113" i="143" s="1"/>
  <c r="P112" i="143"/>
  <c r="R112" i="143" s="1"/>
  <c r="O112" i="143"/>
  <c r="N113" i="143"/>
  <c r="K113" i="143" a="1"/>
  <c r="K113" i="143" s="1"/>
  <c r="R21" i="256" s="1" a="1"/>
  <c r="R21" i="256" s="1"/>
  <c r="R29" i="256" l="1"/>
  <c r="R32" i="256"/>
  <c r="Z113" i="143"/>
  <c r="X113" i="143"/>
  <c r="AB112" i="143"/>
  <c r="AC112" i="143" s="1"/>
  <c r="K114" i="143" a="1"/>
  <c r="K114" i="143" s="1"/>
  <c r="S21" i="256" s="1" a="1"/>
  <c r="S21" i="256" s="1"/>
  <c r="N114" i="143"/>
  <c r="Q114" i="143" a="1"/>
  <c r="Q114" i="143" s="1"/>
  <c r="Y113" i="143"/>
  <c r="AA113" i="143"/>
  <c r="P113" i="143"/>
  <c r="R113" i="143" s="1"/>
  <c r="O113" i="143"/>
  <c r="S29" i="256" l="1"/>
  <c r="S32" i="256"/>
  <c r="Y114" i="143"/>
  <c r="Z114" i="143"/>
  <c r="X114" i="143"/>
  <c r="AA114" i="143" s="1"/>
  <c r="O114" i="143"/>
  <c r="P114" i="143"/>
  <c r="R114" i="143" s="1"/>
  <c r="AB113" i="143"/>
  <c r="AC113" i="143" s="1"/>
  <c r="AB114" i="143" l="1"/>
  <c r="AC114" i="143" s="1"/>
  <c r="F21" i="135" a="1"/>
  <c r="F21" i="135" s="1"/>
  <c r="F32" i="135" l="1"/>
  <c r="F29" i="135"/>
  <c r="J21" i="135" l="1" a="1"/>
  <c r="J21" i="135" s="1"/>
  <c r="V21" i="135" a="1"/>
  <c r="V21" i="135" s="1"/>
  <c r="V32" i="135" l="1"/>
  <c r="V29" i="135"/>
  <c r="J32" i="135"/>
  <c r="J29" i="135"/>
  <c r="L21" i="135" a="1"/>
  <c r="L21" i="135" s="1"/>
  <c r="K21" i="135" a="1"/>
  <c r="K21" i="135" s="1"/>
  <c r="P21" i="135" a="1"/>
  <c r="P21" i="135" s="1"/>
  <c r="G21" i="135" a="1"/>
  <c r="G21" i="135" s="1"/>
  <c r="W21" i="135" a="1"/>
  <c r="W21" i="135" s="1"/>
  <c r="S21" i="135" a="1"/>
  <c r="S21" i="135" s="1"/>
  <c r="X21" i="135" a="1"/>
  <c r="X21" i="135" s="1"/>
  <c r="T21" i="135" a="1"/>
  <c r="T21" i="135" s="1"/>
  <c r="AA21" i="135" a="1"/>
  <c r="AA21" i="135" s="1"/>
  <c r="Y21" i="135" a="1"/>
  <c r="Y21" i="135" s="1"/>
  <c r="AF21" i="135" a="1"/>
  <c r="AF21" i="135" s="1"/>
  <c r="H21" i="135" a="1"/>
  <c r="H21" i="135" s="1"/>
  <c r="AG21" i="135" a="1"/>
  <c r="AG21" i="135" s="1"/>
  <c r="U21" i="135" a="1"/>
  <c r="U21" i="135" s="1"/>
  <c r="O21" i="135" a="1"/>
  <c r="O21" i="135" s="1"/>
  <c r="R21" i="135" a="1"/>
  <c r="R21" i="135" s="1"/>
  <c r="Q21" i="135" a="1"/>
  <c r="Q21" i="135" s="1"/>
  <c r="M21" i="135" a="1"/>
  <c r="M21" i="135" s="1"/>
  <c r="AE21" i="135" a="1"/>
  <c r="AE21" i="135" s="1"/>
  <c r="N21" i="135" a="1"/>
  <c r="N21" i="135" s="1"/>
  <c r="I21" i="135" a="1"/>
  <c r="I21" i="135" s="1"/>
  <c r="Z21" i="135" a="1"/>
  <c r="Z21" i="135" s="1"/>
  <c r="AB21" i="135" a="1"/>
  <c r="AB21" i="135" s="1"/>
  <c r="AD21" i="135" a="1"/>
  <c r="AD21" i="135" s="1"/>
  <c r="AC21" i="135" a="1"/>
  <c r="AC21" i="135" s="1"/>
  <c r="H32" i="135" l="1"/>
  <c r="H29" i="135"/>
  <c r="AC32" i="135"/>
  <c r="AC29" i="135"/>
  <c r="AB32" i="135"/>
  <c r="AB29" i="135"/>
  <c r="I32" i="135"/>
  <c r="I29" i="135"/>
  <c r="AE32" i="135"/>
  <c r="AE29" i="135"/>
  <c r="M29" i="135"/>
  <c r="M32" i="135"/>
  <c r="G29" i="135"/>
  <c r="G32" i="135"/>
  <c r="AD32" i="135"/>
  <c r="AD29" i="135"/>
  <c r="T29" i="135"/>
  <c r="T32" i="135"/>
  <c r="S32" i="135"/>
  <c r="S29" i="135"/>
  <c r="Q29" i="135"/>
  <c r="Q32" i="135"/>
  <c r="P29" i="135"/>
  <c r="P32" i="135"/>
  <c r="U32" i="135"/>
  <c r="U29" i="135"/>
  <c r="AF32" i="135"/>
  <c r="AF29" i="135"/>
  <c r="Y32" i="135"/>
  <c r="Y29" i="135"/>
  <c r="Z32" i="135"/>
  <c r="Z29" i="135"/>
  <c r="N29" i="135"/>
  <c r="N32" i="135"/>
  <c r="W32" i="135"/>
  <c r="W29" i="135"/>
  <c r="R29" i="135"/>
  <c r="R32" i="135"/>
  <c r="K32" i="135"/>
  <c r="K29" i="135"/>
  <c r="AG29" i="135"/>
  <c r="AG32" i="135"/>
  <c r="AA32" i="135"/>
  <c r="AA29" i="135"/>
  <c r="X32" i="135"/>
  <c r="X29" i="135"/>
  <c r="O29" i="135"/>
  <c r="O32" i="135"/>
  <c r="L29" i="135"/>
  <c r="L32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D117" i="143" l="1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T21" i="256" s="1" a="1"/>
  <c r="T21" i="256" s="1"/>
  <c r="Q115" i="143" a="1"/>
  <c r="Q115" i="143" s="1"/>
  <c r="R115" i="143" s="1"/>
  <c r="T29" i="256" l="1"/>
  <c r="T32" i="256"/>
  <c r="D118" i="143"/>
  <c r="I118" i="143" s="1"/>
  <c r="Z115" i="143"/>
  <c r="J117" i="143"/>
  <c r="G117" i="143"/>
  <c r="F117" i="143"/>
  <c r="I117" i="143"/>
  <c r="E117" i="143"/>
  <c r="Y115" i="143"/>
  <c r="K116" i="143" a="1"/>
  <c r="K116" i="143" s="1"/>
  <c r="U21" i="256" s="1" a="1"/>
  <c r="U21" i="256" s="1"/>
  <c r="X115" i="143"/>
  <c r="AA115" i="143" s="1"/>
  <c r="Q116" i="143" a="1"/>
  <c r="Q116" i="143" s="1"/>
  <c r="O116" i="143"/>
  <c r="P116" i="143"/>
  <c r="U32" i="256" l="1"/>
  <c r="U29" i="256"/>
  <c r="F118" i="143"/>
  <c r="H118" i="143"/>
  <c r="E118" i="143"/>
  <c r="D119" i="143"/>
  <c r="G118" i="143"/>
  <c r="J118" i="143"/>
  <c r="K117" i="143" a="1"/>
  <c r="K117" i="143" s="1"/>
  <c r="V21" i="256" s="1" a="1"/>
  <c r="V21" i="256" s="1"/>
  <c r="N117" i="143"/>
  <c r="O117" i="143" s="1"/>
  <c r="Q117" i="143" a="1"/>
  <c r="Q117" i="143" s="1"/>
  <c r="AB115" i="143"/>
  <c r="AC115" i="143" s="1"/>
  <c r="N118" i="143"/>
  <c r="P118" i="143" s="1"/>
  <c r="Y116" i="143"/>
  <c r="AA116" i="143"/>
  <c r="Z116" i="143"/>
  <c r="R116" i="143"/>
  <c r="X116" i="143"/>
  <c r="V29" i="256" l="1"/>
  <c r="V32" i="256"/>
  <c r="Q118" i="143" a="1"/>
  <c r="Q118" i="143" s="1"/>
  <c r="R118" i="143" s="1"/>
  <c r="K118" i="143" a="1"/>
  <c r="K118" i="143" s="1"/>
  <c r="W21" i="256" s="1" a="1"/>
  <c r="W21" i="256" s="1"/>
  <c r="P117" i="143"/>
  <c r="R117" i="143" s="1"/>
  <c r="X117" i="143"/>
  <c r="AA117" i="143" s="1"/>
  <c r="Z117" i="143"/>
  <c r="Y117" i="143"/>
  <c r="D120" i="143"/>
  <c r="J119" i="143"/>
  <c r="E119" i="143"/>
  <c r="G119" i="143"/>
  <c r="F119" i="143"/>
  <c r="H119" i="143"/>
  <c r="I119" i="143"/>
  <c r="O118" i="143"/>
  <c r="AB116" i="143"/>
  <c r="AC116" i="143" s="1"/>
  <c r="W32" i="256" l="1"/>
  <c r="W29" i="256"/>
  <c r="X118" i="143"/>
  <c r="Z118" i="143"/>
  <c r="AA118" i="143"/>
  <c r="Y118" i="143"/>
  <c r="AB117" i="143"/>
  <c r="AC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X21" i="256" s="1" a="1"/>
  <c r="X21" i="256" s="1"/>
  <c r="Q119" i="143" a="1"/>
  <c r="Q119" i="143" s="1"/>
  <c r="X32" i="256" l="1"/>
  <c r="X29" i="256"/>
  <c r="Z119" i="143"/>
  <c r="AB118" i="143"/>
  <c r="AC118" i="143" s="1"/>
  <c r="Q120" i="143" a="1"/>
  <c r="Q120" i="143" s="1"/>
  <c r="K120" i="143" a="1"/>
  <c r="K120" i="143" s="1"/>
  <c r="Y21" i="256" s="1" a="1"/>
  <c r="Y21" i="256" s="1"/>
  <c r="N120" i="143"/>
  <c r="D122" i="143"/>
  <c r="H121" i="143"/>
  <c r="F121" i="143"/>
  <c r="E121" i="143"/>
  <c r="I121" i="143"/>
  <c r="G121" i="143"/>
  <c r="J121" i="143"/>
  <c r="X119" i="143"/>
  <c r="AA119" i="143" s="1"/>
  <c r="O119" i="143"/>
  <c r="P119" i="143"/>
  <c r="R119" i="143" s="1"/>
  <c r="Y119" i="143" s="1"/>
  <c r="Y29" i="256" l="1"/>
  <c r="Y32" i="256"/>
  <c r="Z120" i="143"/>
  <c r="X120" i="143"/>
  <c r="AB119" i="143"/>
  <c r="AC119" i="143" s="1"/>
  <c r="Y120" i="143"/>
  <c r="Q121" i="143" a="1"/>
  <c r="Q121" i="143" s="1"/>
  <c r="K121" i="143" a="1"/>
  <c r="K121" i="143" s="1"/>
  <c r="N121" i="143"/>
  <c r="J122" i="143"/>
  <c r="G122" i="143"/>
  <c r="E122" i="143"/>
  <c r="F122" i="143"/>
  <c r="H122" i="143"/>
  <c r="I122" i="143"/>
  <c r="D123" i="143"/>
  <c r="P120" i="143"/>
  <c r="R120" i="143" s="1"/>
  <c r="O120" i="143"/>
  <c r="AA120" i="143"/>
  <c r="Y121" i="143" l="1"/>
  <c r="Z121" i="143"/>
  <c r="AB120" i="143"/>
  <c r="AC120" i="143" s="1"/>
  <c r="X121" i="143"/>
  <c r="AA121" i="143" s="1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AA21" i="256" s="1" a="1"/>
  <c r="AA21" i="256" s="1"/>
  <c r="O121" i="143"/>
  <c r="P121" i="143"/>
  <c r="R121" i="143" s="1"/>
  <c r="AA32" i="256" l="1"/>
  <c r="AA29" i="256"/>
  <c r="AB121" i="143"/>
  <c r="AC121" i="143" s="1"/>
  <c r="Z122" i="143"/>
  <c r="P122" i="143"/>
  <c r="R122" i="143" s="1"/>
  <c r="O122" i="143"/>
  <c r="Y122" i="143"/>
  <c r="X122" i="143"/>
  <c r="AA122" i="143" s="1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AB21" i="256" s="1" a="1"/>
  <c r="AB21" i="256" s="1"/>
  <c r="N123" i="143"/>
  <c r="AB29" i="256" l="1"/>
  <c r="AB32" i="256"/>
  <c r="AA123" i="143"/>
  <c r="Z123" i="143"/>
  <c r="P123" i="143"/>
  <c r="R123" i="143" s="1"/>
  <c r="O123" i="143"/>
  <c r="Y123" i="143"/>
  <c r="AB122" i="143"/>
  <c r="AC122" i="143" s="1"/>
  <c r="N124" i="143"/>
  <c r="K124" i="143" a="1"/>
  <c r="K124" i="143" s="1"/>
  <c r="AC21" i="256" s="1" a="1"/>
  <c r="AC21" i="256" s="1"/>
  <c r="Q124" i="143" a="1"/>
  <c r="Q124" i="143" s="1"/>
  <c r="F125" i="143"/>
  <c r="E125" i="143"/>
  <c r="H125" i="143"/>
  <c r="G125" i="143"/>
  <c r="I125" i="143"/>
  <c r="D126" i="143"/>
  <c r="J125" i="143"/>
  <c r="X123" i="143"/>
  <c r="AC32" i="256" l="1"/>
  <c r="AC29" i="256"/>
  <c r="AA124" i="143"/>
  <c r="AB123" i="143"/>
  <c r="AC123" i="143" s="1"/>
  <c r="X124" i="143"/>
  <c r="Z124" i="143"/>
  <c r="D127" i="143"/>
  <c r="G126" i="143"/>
  <c r="J126" i="143"/>
  <c r="H126" i="143"/>
  <c r="E126" i="143"/>
  <c r="F126" i="143"/>
  <c r="I126" i="143"/>
  <c r="K125" i="143" a="1"/>
  <c r="K125" i="143" s="1"/>
  <c r="AD21" i="256" s="1" a="1"/>
  <c r="AD21" i="256" s="1"/>
  <c r="N125" i="143"/>
  <c r="Q125" i="143" a="1"/>
  <c r="Q125" i="143" s="1"/>
  <c r="Y124" i="143"/>
  <c r="O124" i="143"/>
  <c r="P124" i="143"/>
  <c r="R124" i="143" s="1"/>
  <c r="AD29" i="256" l="1"/>
  <c r="AD32" i="256"/>
  <c r="AB124" i="143"/>
  <c r="AC124" i="143" s="1"/>
  <c r="Z125" i="143"/>
  <c r="Y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AE21" i="256" s="1" a="1"/>
  <c r="AE21" i="256" s="1"/>
  <c r="AA125" i="143"/>
  <c r="X125" i="143"/>
  <c r="AE29" i="256" l="1"/>
  <c r="AE32" i="256"/>
  <c r="AA126" i="143"/>
  <c r="Z126" i="143"/>
  <c r="F128" i="143"/>
  <c r="J128" i="143"/>
  <c r="E128" i="143"/>
  <c r="G128" i="143"/>
  <c r="I128" i="143"/>
  <c r="H128" i="143"/>
  <c r="D129" i="143"/>
  <c r="Y126" i="143"/>
  <c r="O126" i="143"/>
  <c r="P126" i="143"/>
  <c r="R126" i="143" s="1"/>
  <c r="X126" i="143"/>
  <c r="K127" i="143" a="1"/>
  <c r="K127" i="143" s="1"/>
  <c r="AF21" i="256" s="1" a="1"/>
  <c r="AF21" i="256" s="1"/>
  <c r="Q127" i="143" a="1"/>
  <c r="Q127" i="143" s="1"/>
  <c r="N127" i="143"/>
  <c r="AB125" i="143"/>
  <c r="AC125" i="143" s="1"/>
  <c r="AF29" i="256" l="1"/>
  <c r="AF32" i="256"/>
  <c r="AA127" i="143"/>
  <c r="Z127" i="143"/>
  <c r="AB126" i="143"/>
  <c r="AC126" i="143" s="1"/>
  <c r="X127" i="143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AG21" i="256" s="1" a="1"/>
  <c r="AG21" i="256" s="1"/>
  <c r="N128" i="143"/>
  <c r="Y127" i="143"/>
  <c r="O127" i="143"/>
  <c r="P127" i="143"/>
  <c r="R127" i="143" s="1"/>
  <c r="AG32" i="256" l="1"/>
  <c r="AG29" i="256"/>
  <c r="Z128" i="143"/>
  <c r="X128" i="143"/>
  <c r="AA128" i="143" s="1"/>
  <c r="AB127" i="143"/>
  <c r="AC127" i="143" s="1"/>
  <c r="K129" i="143" a="1"/>
  <c r="K129" i="143" s="1"/>
  <c r="AH21" i="256" s="1" a="1"/>
  <c r="AH21" i="256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Y128" i="143"/>
  <c r="AH29" i="256" l="1"/>
  <c r="AH32" i="256"/>
  <c r="AB128" i="143"/>
  <c r="AC128" i="143" s="1"/>
  <c r="Z129" i="143"/>
  <c r="Q130" i="143" a="1"/>
  <c r="Q130" i="143" s="1"/>
  <c r="K130" i="143" a="1"/>
  <c r="K130" i="143" s="1"/>
  <c r="AI21" i="256" s="1" a="1"/>
  <c r="AI21" i="256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Y129" i="143" s="1"/>
  <c r="X129" i="143"/>
  <c r="AI29" i="256" l="1"/>
  <c r="AI32" i="256"/>
  <c r="Z130" i="143"/>
  <c r="Y130" i="143"/>
  <c r="X130" i="143"/>
  <c r="AA130" i="143" s="1"/>
  <c r="AA129" i="143"/>
  <c r="AB129" i="143" s="1"/>
  <c r="AC129" i="143" s="1"/>
  <c r="H132" i="143"/>
  <c r="J132" i="143"/>
  <c r="E132" i="143"/>
  <c r="F132" i="143"/>
  <c r="I132" i="143"/>
  <c r="D133" i="143"/>
  <c r="G132" i="143"/>
  <c r="P130" i="143"/>
  <c r="R130" i="143" s="1"/>
  <c r="O130" i="143"/>
  <c r="K131" i="143" a="1"/>
  <c r="K131" i="143" s="1"/>
  <c r="F21" i="255" s="1" a="1"/>
  <c r="F21" i="255" s="1"/>
  <c r="Q131" i="143" a="1"/>
  <c r="Q131" i="143" s="1"/>
  <c r="N131" i="143"/>
  <c r="F29" i="255" l="1"/>
  <c r="F32" i="255"/>
  <c r="AB130" i="143"/>
  <c r="AC130" i="143" s="1"/>
  <c r="X131" i="143"/>
  <c r="AA131" i="143"/>
  <c r="J133" i="143"/>
  <c r="D134" i="143"/>
  <c r="E133" i="143"/>
  <c r="F133" i="143"/>
  <c r="H133" i="143"/>
  <c r="I133" i="143"/>
  <c r="G133" i="143"/>
  <c r="Z131" i="143"/>
  <c r="N132" i="143"/>
  <c r="K132" i="143" a="1"/>
  <c r="K132" i="143" s="1"/>
  <c r="G21" i="255" s="1" a="1"/>
  <c r="G21" i="255" s="1"/>
  <c r="Q132" i="143" a="1"/>
  <c r="Q132" i="143" s="1"/>
  <c r="O131" i="143"/>
  <c r="P131" i="143"/>
  <c r="R131" i="143" s="1"/>
  <c r="Y131" i="143" s="1"/>
  <c r="G29" i="255" l="1"/>
  <c r="G32" i="255"/>
  <c r="Z132" i="143"/>
  <c r="X132" i="143"/>
  <c r="AA132" i="143" s="1"/>
  <c r="AB131" i="143"/>
  <c r="AC131" i="143" s="1"/>
  <c r="O132" i="143"/>
  <c r="P132" i="143"/>
  <c r="R132" i="143" s="1"/>
  <c r="Y132" i="143" s="1"/>
  <c r="K133" i="143" a="1"/>
  <c r="K133" i="143" s="1"/>
  <c r="H21" i="255" s="1" a="1"/>
  <c r="H21" i="255" s="1"/>
  <c r="N133" i="143"/>
  <c r="Q133" i="143" a="1"/>
  <c r="Q133" i="143" s="1"/>
  <c r="J134" i="143"/>
  <c r="H134" i="143"/>
  <c r="G134" i="143"/>
  <c r="D135" i="143"/>
  <c r="E134" i="143"/>
  <c r="F134" i="143"/>
  <c r="I134" i="143"/>
  <c r="H32" i="255" l="1"/>
  <c r="H29" i="255"/>
  <c r="AB132" i="143"/>
  <c r="AC132" i="143" s="1"/>
  <c r="Z133" i="143"/>
  <c r="X133" i="143"/>
  <c r="AA133" i="143" s="1"/>
  <c r="O133" i="143"/>
  <c r="P133" i="143"/>
  <c r="R133" i="143" s="1"/>
  <c r="Y133" i="143" s="1"/>
  <c r="K134" i="143" a="1"/>
  <c r="K134" i="143" s="1"/>
  <c r="I21" i="255" s="1" a="1"/>
  <c r="I21" i="255" s="1"/>
  <c r="N134" i="143"/>
  <c r="Q134" i="143" a="1"/>
  <c r="Q134" i="143" s="1"/>
  <c r="G135" i="143"/>
  <c r="F135" i="143"/>
  <c r="D136" i="143"/>
  <c r="E135" i="143"/>
  <c r="J135" i="143"/>
  <c r="I135" i="143"/>
  <c r="H135" i="143"/>
  <c r="I29" i="255" l="1"/>
  <c r="I32" i="255"/>
  <c r="AB133" i="143"/>
  <c r="AC133" i="143" s="1"/>
  <c r="Z134" i="143"/>
  <c r="X134" i="143"/>
  <c r="AA134" i="143" s="1"/>
  <c r="E136" i="143"/>
  <c r="J136" i="143"/>
  <c r="G136" i="143"/>
  <c r="I136" i="143"/>
  <c r="H136" i="143"/>
  <c r="F136" i="143"/>
  <c r="D137" i="143"/>
  <c r="O134" i="143"/>
  <c r="P134" i="143"/>
  <c r="R134" i="143" s="1"/>
  <c r="Y134" i="143" s="1"/>
  <c r="N135" i="143"/>
  <c r="Q135" i="143" a="1"/>
  <c r="Q135" i="143" s="1"/>
  <c r="K135" i="143" a="1"/>
  <c r="K135" i="143" s="1"/>
  <c r="Y135" i="143" l="1"/>
  <c r="AB134" i="143"/>
  <c r="AC134" i="143" s="1"/>
  <c r="Z135" i="143"/>
  <c r="X135" i="143"/>
  <c r="AA135" i="143" s="1"/>
  <c r="Q136" i="143" a="1"/>
  <c r="Q136" i="143" s="1"/>
  <c r="N136" i="143"/>
  <c r="K136" i="143" a="1"/>
  <c r="K136" i="143" s="1"/>
  <c r="K21" i="255" s="1" a="1"/>
  <c r="K21" i="255" s="1"/>
  <c r="E137" i="143"/>
  <c r="H137" i="143"/>
  <c r="G137" i="143"/>
  <c r="F137" i="143"/>
  <c r="D138" i="143"/>
  <c r="I137" i="143"/>
  <c r="J137" i="143"/>
  <c r="O135" i="143"/>
  <c r="P135" i="143"/>
  <c r="R135" i="143" s="1"/>
  <c r="K29" i="255" l="1"/>
  <c r="K32" i="255"/>
  <c r="AB135" i="143"/>
  <c r="AC135" i="143" s="1"/>
  <c r="X136" i="143"/>
  <c r="AA136" i="143" s="1"/>
  <c r="O136" i="143"/>
  <c r="P136" i="143"/>
  <c r="R136" i="143" s="1"/>
  <c r="Z136" i="143"/>
  <c r="Y136" i="143"/>
  <c r="Q137" i="143" a="1"/>
  <c r="Q137" i="143" s="1"/>
  <c r="K137" i="143" a="1"/>
  <c r="K137" i="143" s="1"/>
  <c r="L21" i="255" s="1" a="1"/>
  <c r="L21" i="255" s="1"/>
  <c r="N137" i="143"/>
  <c r="G138" i="143"/>
  <c r="H138" i="143"/>
  <c r="J138" i="143"/>
  <c r="I138" i="143"/>
  <c r="E138" i="143"/>
  <c r="F138" i="143"/>
  <c r="D139" i="143"/>
  <c r="L29" i="255" l="1"/>
  <c r="L32" i="255"/>
  <c r="Y137" i="143"/>
  <c r="AA137" i="143"/>
  <c r="X137" i="143"/>
  <c r="P137" i="143"/>
  <c r="R137" i="143" s="1"/>
  <c r="O137" i="143"/>
  <c r="F139" i="143"/>
  <c r="D140" i="143"/>
  <c r="J139" i="143"/>
  <c r="I139" i="143"/>
  <c r="G139" i="143"/>
  <c r="E139" i="143"/>
  <c r="H139" i="143"/>
  <c r="AB136" i="143"/>
  <c r="AC136" i="143" s="1"/>
  <c r="K138" i="143" a="1"/>
  <c r="K138" i="143" s="1"/>
  <c r="M21" i="255" s="1" a="1"/>
  <c r="M21" i="255" s="1"/>
  <c r="Q138" i="143" a="1"/>
  <c r="Q138" i="143" s="1"/>
  <c r="N138" i="143"/>
  <c r="Z137" i="143"/>
  <c r="M29" i="255" l="1"/>
  <c r="M32" i="255"/>
  <c r="Z138" i="143"/>
  <c r="X138" i="143"/>
  <c r="AB137" i="143"/>
  <c r="AC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N21" i="255" s="1" a="1"/>
  <c r="N21" i="255" s="1"/>
  <c r="Y138" i="143"/>
  <c r="AA138" i="143"/>
  <c r="P138" i="143"/>
  <c r="R138" i="143" s="1"/>
  <c r="O138" i="143"/>
  <c r="N32" i="255" l="1"/>
  <c r="N29" i="255"/>
  <c r="AB138" i="143"/>
  <c r="AC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Y139" i="143" s="1"/>
  <c r="O139" i="143"/>
  <c r="X139" i="143"/>
  <c r="AA139" i="143" s="1"/>
  <c r="Z139" i="143"/>
  <c r="AA140" i="143" l="1"/>
  <c r="AB139" i="143"/>
  <c r="AC139" i="143" s="1"/>
  <c r="Z140" i="143"/>
  <c r="Y140" i="143"/>
  <c r="X140" i="143"/>
  <c r="N141" i="143"/>
  <c r="K141" i="143" a="1"/>
  <c r="K141" i="143" s="1"/>
  <c r="P21" i="255" s="1" a="1"/>
  <c r="P21" i="255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P29" i="255" l="1"/>
  <c r="P32" i="255"/>
  <c r="Y141" i="143"/>
  <c r="AA141" i="143"/>
  <c r="AB140" i="143"/>
  <c r="AC140" i="143" s="1"/>
  <c r="X141" i="143"/>
  <c r="P141" i="143"/>
  <c r="R141" i="143" s="1"/>
  <c r="O141" i="143"/>
  <c r="Q142" i="143" a="1"/>
  <c r="Q142" i="143" s="1"/>
  <c r="K142" i="143" a="1"/>
  <c r="K142" i="143" s="1"/>
  <c r="Q21" i="255" s="1" a="1"/>
  <c r="Q21" i="255" s="1"/>
  <c r="N142" i="143"/>
  <c r="F143" i="143"/>
  <c r="G143" i="143"/>
  <c r="D144" i="143"/>
  <c r="J143" i="143"/>
  <c r="H143" i="143"/>
  <c r="E143" i="143"/>
  <c r="I143" i="143"/>
  <c r="Z141" i="143"/>
  <c r="Q29" i="255" l="1"/>
  <c r="Q32" i="255"/>
  <c r="Y142" i="143"/>
  <c r="AB141" i="143"/>
  <c r="AC141" i="143" s="1"/>
  <c r="X142" i="143"/>
  <c r="AA142" i="143" s="1"/>
  <c r="H144" i="143"/>
  <c r="J144" i="143"/>
  <c r="F144" i="143"/>
  <c r="E144" i="143"/>
  <c r="I144" i="143"/>
  <c r="G144" i="143"/>
  <c r="D145" i="143"/>
  <c r="Z142" i="143"/>
  <c r="O142" i="143"/>
  <c r="P142" i="143"/>
  <c r="R142" i="143" s="1"/>
  <c r="N143" i="143"/>
  <c r="Q143" i="143" a="1"/>
  <c r="Q143" i="143" s="1"/>
  <c r="K143" i="143" a="1"/>
  <c r="K143" i="143" s="1"/>
  <c r="R21" i="255" s="1" a="1"/>
  <c r="R21" i="255" s="1"/>
  <c r="R29" i="255" l="1"/>
  <c r="R32" i="255"/>
  <c r="Y143" i="143"/>
  <c r="AB142" i="143"/>
  <c r="AC142" i="143" s="1"/>
  <c r="Z143" i="143"/>
  <c r="P143" i="143"/>
  <c r="R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S21" i="255" s="1" a="1"/>
  <c r="S21" i="255" s="1"/>
  <c r="X143" i="143"/>
  <c r="S32" i="255" l="1"/>
  <c r="S29" i="255"/>
  <c r="AA144" i="143"/>
  <c r="Z144" i="143"/>
  <c r="X144" i="143"/>
  <c r="AA143" i="143"/>
  <c r="AB143" i="143" s="1"/>
  <c r="AC143" i="143" s="1"/>
  <c r="K145" i="143" a="1"/>
  <c r="K145" i="143" s="1"/>
  <c r="T21" i="255" s="1" a="1"/>
  <c r="T21" i="255" s="1"/>
  <c r="Q145" i="143" a="1"/>
  <c r="Q145" i="143" s="1"/>
  <c r="N145" i="143"/>
  <c r="H146" i="143"/>
  <c r="E146" i="143"/>
  <c r="J146" i="143"/>
  <c r="D147" i="143"/>
  <c r="I146" i="143"/>
  <c r="F146" i="143"/>
  <c r="G146" i="143"/>
  <c r="Y144" i="143"/>
  <c r="O144" i="143"/>
  <c r="P144" i="143"/>
  <c r="R144" i="143" s="1"/>
  <c r="T29" i="255" l="1"/>
  <c r="T32" i="255"/>
  <c r="Y145" i="143"/>
  <c r="AB144" i="143"/>
  <c r="AC144" i="143" s="1"/>
  <c r="AA145" i="143"/>
  <c r="X145" i="143"/>
  <c r="Z145" i="143"/>
  <c r="K146" i="143" a="1"/>
  <c r="K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Y146" i="143" l="1"/>
  <c r="AB145" i="143"/>
  <c r="AC145" i="143" s="1"/>
  <c r="N147" i="143"/>
  <c r="Q147" i="143" a="1"/>
  <c r="Q147" i="143" s="1"/>
  <c r="K147" i="143" a="1"/>
  <c r="K147" i="143" s="1"/>
  <c r="V21" i="255" s="1" a="1"/>
  <c r="V21" i="255" s="1"/>
  <c r="G148" i="143"/>
  <c r="D149" i="143"/>
  <c r="J148" i="143"/>
  <c r="H148" i="143"/>
  <c r="E148" i="143"/>
  <c r="F148" i="143"/>
  <c r="I148" i="143"/>
  <c r="AA146" i="143"/>
  <c r="Z146" i="143"/>
  <c r="P146" i="143"/>
  <c r="R146" i="143" s="1"/>
  <c r="O146" i="143"/>
  <c r="X146" i="143"/>
  <c r="V29" i="255" l="1"/>
  <c r="V32" i="255"/>
  <c r="AB146" i="143"/>
  <c r="AC146" i="143" s="1"/>
  <c r="AA147" i="143"/>
  <c r="X147" i="143"/>
  <c r="Z147" i="143"/>
  <c r="Y147" i="143"/>
  <c r="O147" i="143"/>
  <c r="P147" i="143"/>
  <c r="R147" i="143" s="1"/>
  <c r="K148" i="143" a="1"/>
  <c r="K148" i="143" s="1"/>
  <c r="W21" i="255" s="1" a="1"/>
  <c r="W21" i="255" s="1"/>
  <c r="Q148" i="143" a="1"/>
  <c r="Q148" i="143" s="1"/>
  <c r="N148" i="143"/>
  <c r="I149" i="143"/>
  <c r="D150" i="143"/>
  <c r="J149" i="143"/>
  <c r="F149" i="143"/>
  <c r="H149" i="143"/>
  <c r="G149" i="143"/>
  <c r="E149" i="143"/>
  <c r="W29" i="255" l="1"/>
  <c r="W32" i="255"/>
  <c r="AA148" i="143"/>
  <c r="Z148" i="143"/>
  <c r="AB147" i="143"/>
  <c r="AC147" i="143" s="1"/>
  <c r="X148" i="143"/>
  <c r="E150" i="143"/>
  <c r="I150" i="143"/>
  <c r="F150" i="143"/>
  <c r="G150" i="143"/>
  <c r="H150" i="143"/>
  <c r="D151" i="143"/>
  <c r="J150" i="143"/>
  <c r="K149" i="143" a="1"/>
  <c r="K149" i="143" s="1"/>
  <c r="X21" i="255" s="1" a="1"/>
  <c r="X21" i="255" s="1"/>
  <c r="Q149" i="143" a="1"/>
  <c r="Q149" i="143" s="1"/>
  <c r="N149" i="143"/>
  <c r="O148" i="143"/>
  <c r="P148" i="143"/>
  <c r="R148" i="143" s="1"/>
  <c r="Y148" i="143"/>
  <c r="X29" i="255" l="1"/>
  <c r="X32" i="255"/>
  <c r="AB148" i="143"/>
  <c r="AC148" i="143" s="1"/>
  <c r="Z149" i="143"/>
  <c r="P149" i="143"/>
  <c r="R149" i="143" s="1"/>
  <c r="O149" i="143"/>
  <c r="Y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Y21" i="255" s="1" a="1"/>
  <c r="Y21" i="255" s="1"/>
  <c r="N150" i="143"/>
  <c r="X149" i="143"/>
  <c r="AA149" i="143" s="1"/>
  <c r="Y32" i="255" l="1"/>
  <c r="Y29" i="255"/>
  <c r="Z150" i="143"/>
  <c r="X150" i="143"/>
  <c r="AA150" i="143" s="1"/>
  <c r="P150" i="143"/>
  <c r="R150" i="143" s="1"/>
  <c r="Y150" i="143" s="1"/>
  <c r="O150" i="143"/>
  <c r="Q151" i="143" a="1"/>
  <c r="Q151" i="143" s="1"/>
  <c r="K151" i="143" a="1"/>
  <c r="K151" i="143" s="1"/>
  <c r="Z21" i="255" s="1" a="1"/>
  <c r="Z21" i="255" s="1"/>
  <c r="N151" i="143"/>
  <c r="H152" i="143"/>
  <c r="J152" i="143"/>
  <c r="E152" i="143"/>
  <c r="D153" i="143"/>
  <c r="I152" i="143"/>
  <c r="G152" i="143"/>
  <c r="F152" i="143"/>
  <c r="AB149" i="143"/>
  <c r="AC149" i="143" s="1"/>
  <c r="Z29" i="255" l="1"/>
  <c r="Z32" i="255"/>
  <c r="AA151" i="143"/>
  <c r="AB150" i="143"/>
  <c r="AC150" i="143" s="1"/>
  <c r="N152" i="143"/>
  <c r="K152" i="143" a="1"/>
  <c r="K152" i="143" s="1"/>
  <c r="AA21" i="255" s="1" a="1"/>
  <c r="AA21" i="255" s="1"/>
  <c r="Q152" i="143" a="1"/>
  <c r="Q152" i="143" s="1"/>
  <c r="D154" i="143"/>
  <c r="F153" i="143"/>
  <c r="H153" i="143"/>
  <c r="E153" i="143"/>
  <c r="G153" i="143"/>
  <c r="J153" i="143"/>
  <c r="I153" i="143"/>
  <c r="X151" i="143"/>
  <c r="Z151" i="143"/>
  <c r="O151" i="143"/>
  <c r="P151" i="143"/>
  <c r="R151" i="143" s="1"/>
  <c r="Y151" i="143"/>
  <c r="AA29" i="255" l="1"/>
  <c r="AA32" i="255"/>
  <c r="AA152" i="143"/>
  <c r="Z152" i="143"/>
  <c r="AB151" i="143"/>
  <c r="AC151" i="143" s="1"/>
  <c r="X152" i="143"/>
  <c r="I154" i="143"/>
  <c r="G154" i="143"/>
  <c r="D155" i="143"/>
  <c r="J154" i="143"/>
  <c r="E154" i="143"/>
  <c r="F154" i="143"/>
  <c r="H154" i="143"/>
  <c r="N153" i="143"/>
  <c r="K153" i="143" a="1"/>
  <c r="K153" i="143" s="1"/>
  <c r="AB21" i="255" s="1" a="1"/>
  <c r="AB21" i="255" s="1"/>
  <c r="Q153" i="143" a="1"/>
  <c r="Q153" i="143" s="1"/>
  <c r="Y152" i="143"/>
  <c r="O152" i="143"/>
  <c r="P152" i="143"/>
  <c r="R152" i="143" s="1"/>
  <c r="AB32" i="255" l="1"/>
  <c r="AB29" i="255"/>
  <c r="AA153" i="143"/>
  <c r="AB152" i="143"/>
  <c r="AC152" i="143" s="1"/>
  <c r="F155" i="143"/>
  <c r="H155" i="143"/>
  <c r="E155" i="143"/>
  <c r="J155" i="143"/>
  <c r="G155" i="143"/>
  <c r="D156" i="143"/>
  <c r="I155" i="143"/>
  <c r="Z153" i="143"/>
  <c r="P153" i="143"/>
  <c r="R153" i="143" s="1"/>
  <c r="O153" i="143"/>
  <c r="N154" i="143"/>
  <c r="Q154" i="143" a="1"/>
  <c r="Q154" i="143" s="1"/>
  <c r="K154" i="143" a="1"/>
  <c r="K154" i="143" s="1"/>
  <c r="AC21" i="255" s="1" a="1"/>
  <c r="AC21" i="255" s="1"/>
  <c r="X153" i="143"/>
  <c r="Y153" i="143"/>
  <c r="AC32" i="255" l="1"/>
  <c r="AC29" i="255"/>
  <c r="AA154" i="143"/>
  <c r="AB153" i="143"/>
  <c r="AC153" i="143" s="1"/>
  <c r="F156" i="143"/>
  <c r="J156" i="143"/>
  <c r="H156" i="143"/>
  <c r="G156" i="143"/>
  <c r="E156" i="143"/>
  <c r="D157" i="143"/>
  <c r="I156" i="143"/>
  <c r="X154" i="143"/>
  <c r="Z154" i="143"/>
  <c r="Y154" i="143"/>
  <c r="N155" i="143"/>
  <c r="Q155" i="143" a="1"/>
  <c r="Q155" i="143" s="1"/>
  <c r="K155" i="143" a="1"/>
  <c r="K155" i="143" s="1"/>
  <c r="AD21" i="255" s="1" a="1"/>
  <c r="AD21" i="255" s="1"/>
  <c r="P154" i="143"/>
  <c r="R154" i="143" s="1"/>
  <c r="O154" i="143"/>
  <c r="AD29" i="255" l="1"/>
  <c r="AD32" i="255"/>
  <c r="AA155" i="143"/>
  <c r="Y155" i="143"/>
  <c r="Q156" i="143" a="1"/>
  <c r="Q156" i="143" s="1"/>
  <c r="N156" i="143"/>
  <c r="K156" i="143" a="1"/>
  <c r="K156" i="143" s="1"/>
  <c r="AE21" i="255" s="1" a="1"/>
  <c r="AE21" i="255" s="1"/>
  <c r="AB154" i="143"/>
  <c r="AC154" i="143" s="1"/>
  <c r="P155" i="143"/>
  <c r="R155" i="143" s="1"/>
  <c r="O155" i="143"/>
  <c r="Z155" i="143"/>
  <c r="D158" i="143"/>
  <c r="F157" i="143"/>
  <c r="G157" i="143"/>
  <c r="J157" i="143"/>
  <c r="I157" i="143"/>
  <c r="E157" i="143"/>
  <c r="H157" i="143"/>
  <c r="X155" i="143"/>
  <c r="AE29" i="255" l="1"/>
  <c r="AE32" i="255"/>
  <c r="Z156" i="143"/>
  <c r="AB155" i="143"/>
  <c r="AC155" i="143" s="1"/>
  <c r="X156" i="143"/>
  <c r="AA156" i="143" s="1"/>
  <c r="Y156" i="143"/>
  <c r="O156" i="143"/>
  <c r="P156" i="143"/>
  <c r="R156" i="143" s="1"/>
  <c r="N157" i="143"/>
  <c r="Q157" i="143" a="1"/>
  <c r="Q157" i="143" s="1"/>
  <c r="K157" i="143" a="1"/>
  <c r="K157" i="143" s="1"/>
  <c r="AF21" i="255" s="1" a="1"/>
  <c r="AF21" i="255" s="1"/>
  <c r="E158" i="143"/>
  <c r="F158" i="143"/>
  <c r="I158" i="143"/>
  <c r="G158" i="143"/>
  <c r="J158" i="143"/>
  <c r="H158" i="143"/>
  <c r="D159" i="143"/>
  <c r="AF32" i="255" l="1"/>
  <c r="AF29" i="255"/>
  <c r="Z157" i="143"/>
  <c r="AB156" i="143"/>
  <c r="AC156" i="143" s="1"/>
  <c r="X157" i="143"/>
  <c r="AA157" i="143" s="1"/>
  <c r="Y157" i="143"/>
  <c r="P157" i="143"/>
  <c r="R157" i="143" s="1"/>
  <c r="O157" i="143"/>
  <c r="N158" i="143"/>
  <c r="K158" i="143" a="1"/>
  <c r="K158" i="143" s="1"/>
  <c r="AG21" i="255" s="1" a="1"/>
  <c r="AG21" i="255" s="1"/>
  <c r="Q158" i="143" a="1"/>
  <c r="Q158" i="143" s="1"/>
  <c r="F159" i="143"/>
  <c r="I159" i="143"/>
  <c r="E159" i="143"/>
  <c r="D160" i="143"/>
  <c r="J159" i="143"/>
  <c r="H159" i="143"/>
  <c r="G159" i="143"/>
  <c r="AG32" i="255" l="1"/>
  <c r="AG29" i="255"/>
  <c r="Y158" i="143"/>
  <c r="AA158" i="143"/>
  <c r="X158" i="143"/>
  <c r="Z158" i="143"/>
  <c r="E160" i="143"/>
  <c r="F160" i="143"/>
  <c r="D161" i="143"/>
  <c r="J160" i="143"/>
  <c r="G160" i="143"/>
  <c r="I160" i="143"/>
  <c r="H160" i="143"/>
  <c r="K159" i="143" a="1"/>
  <c r="K159" i="143" s="1"/>
  <c r="AH21" i="255" s="1" a="1"/>
  <c r="AH21" i="255" s="1"/>
  <c r="N159" i="143"/>
  <c r="Q159" i="143" a="1"/>
  <c r="Q159" i="143" s="1"/>
  <c r="AB157" i="143"/>
  <c r="AC157" i="143" s="1"/>
  <c r="O158" i="143"/>
  <c r="P158" i="143"/>
  <c r="R158" i="143" s="1"/>
  <c r="AH29" i="255" l="1"/>
  <c r="AH32" i="255"/>
  <c r="X159" i="143"/>
  <c r="AA159" i="143" s="1"/>
  <c r="AB158" i="143"/>
  <c r="AC158" i="143" s="1"/>
  <c r="Z159" i="143"/>
  <c r="O159" i="143"/>
  <c r="P159" i="143"/>
  <c r="R159" i="143" s="1"/>
  <c r="Y159" i="143" s="1"/>
  <c r="K160" i="143" a="1"/>
  <c r="K160" i="143" s="1"/>
  <c r="AI21" i="255" s="1" a="1"/>
  <c r="AI21" i="255" s="1"/>
  <c r="N160" i="143"/>
  <c r="Q160" i="143" a="1"/>
  <c r="Q160" i="143" s="1"/>
  <c r="F161" i="143"/>
  <c r="E161" i="143"/>
  <c r="D162" i="143"/>
  <c r="I161" i="143"/>
  <c r="J161" i="143"/>
  <c r="G161" i="143"/>
  <c r="H161" i="143"/>
  <c r="AI29" i="255" l="1"/>
  <c r="AI32" i="255"/>
  <c r="Z160" i="143"/>
  <c r="AB159" i="143"/>
  <c r="AC159" i="143" s="1"/>
  <c r="X160" i="143"/>
  <c r="AA160" i="143"/>
  <c r="F162" i="143"/>
  <c r="G162" i="143"/>
  <c r="J162" i="143"/>
  <c r="I162" i="143"/>
  <c r="H162" i="143"/>
  <c r="D163" i="143"/>
  <c r="E162" i="143"/>
  <c r="O160" i="143"/>
  <c r="P160" i="143"/>
  <c r="R160" i="143" s="1"/>
  <c r="Y160" i="143" s="1"/>
  <c r="N161" i="143"/>
  <c r="K161" i="143" a="1"/>
  <c r="K161" i="143" s="1"/>
  <c r="AJ21" i="255" s="1" a="1"/>
  <c r="AJ21" i="255" s="1"/>
  <c r="Q161" i="143" a="1"/>
  <c r="Q161" i="143" s="1"/>
  <c r="AJ29" i="255" l="1"/>
  <c r="AJ32" i="255"/>
  <c r="AB160" i="143"/>
  <c r="AC160" i="143" s="1"/>
  <c r="Y161" i="143"/>
  <c r="X161" i="143"/>
  <c r="AA161" i="143" s="1"/>
  <c r="Z161" i="143"/>
  <c r="N162" i="143"/>
  <c r="Q162" i="143" a="1"/>
  <c r="Q162" i="143" s="1"/>
  <c r="K162" i="143" a="1"/>
  <c r="K162" i="143" s="1"/>
  <c r="F21" i="254" s="1" a="1"/>
  <c r="F21" i="254" s="1"/>
  <c r="I163" i="143"/>
  <c r="F163" i="143"/>
  <c r="G163" i="143"/>
  <c r="J163" i="143"/>
  <c r="E163" i="143"/>
  <c r="D164" i="143"/>
  <c r="H163" i="143"/>
  <c r="O161" i="143"/>
  <c r="P161" i="143"/>
  <c r="R161" i="143" s="1"/>
  <c r="F29" i="254" l="1"/>
  <c r="F32" i="254"/>
  <c r="AA162" i="143"/>
  <c r="AB161" i="143"/>
  <c r="AC161" i="143" s="1"/>
  <c r="F164" i="143"/>
  <c r="D165" i="143"/>
  <c r="E164" i="143"/>
  <c r="J164" i="143"/>
  <c r="H164" i="143"/>
  <c r="G164" i="143"/>
  <c r="I164" i="143"/>
  <c r="Y162" i="143"/>
  <c r="P162" i="143"/>
  <c r="R162" i="143" s="1"/>
  <c r="O162" i="143"/>
  <c r="X162" i="143"/>
  <c r="K163" i="143" a="1"/>
  <c r="K163" i="143" s="1"/>
  <c r="G21" i="254" s="1" a="1"/>
  <c r="G21" i="254" s="1"/>
  <c r="Q163" i="143" a="1"/>
  <c r="Q163" i="143" s="1"/>
  <c r="N163" i="143"/>
  <c r="Z162" i="143"/>
  <c r="G29" i="254" l="1"/>
  <c r="G32" i="254"/>
  <c r="Y163" i="143"/>
  <c r="X163" i="143"/>
  <c r="AA163" i="143" s="1"/>
  <c r="Z163" i="143"/>
  <c r="AB162" i="143"/>
  <c r="AC162" i="143" s="1"/>
  <c r="Q164" i="143" a="1"/>
  <c r="Q164" i="143" s="1"/>
  <c r="K164" i="143" a="1"/>
  <c r="K164" i="143" s="1"/>
  <c r="H21" i="254" s="1" a="1"/>
  <c r="H21" i="254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H29" i="254" l="1"/>
  <c r="H32" i="254"/>
  <c r="Z164" i="143"/>
  <c r="X164" i="143"/>
  <c r="AA164" i="143" s="1"/>
  <c r="AB163" i="143"/>
  <c r="AC163" i="143" s="1"/>
  <c r="Y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I21" i="254" s="1" a="1"/>
  <c r="I21" i="254" s="1"/>
  <c r="I32" i="254" l="1"/>
  <c r="I29" i="254"/>
  <c r="AA165" i="143"/>
  <c r="AB164" i="143"/>
  <c r="AC164" i="143" s="1"/>
  <c r="K166" i="143" a="1"/>
  <c r="K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Z165" i="143"/>
  <c r="X165" i="143"/>
  <c r="Y165" i="143"/>
  <c r="P165" i="143"/>
  <c r="R165" i="143" s="1"/>
  <c r="O165" i="143"/>
  <c r="Y166" i="143" l="1"/>
  <c r="AA166" i="143"/>
  <c r="Z166" i="143"/>
  <c r="D169" i="143"/>
  <c r="E168" i="143"/>
  <c r="I168" i="143"/>
  <c r="J168" i="143"/>
  <c r="H168" i="143"/>
  <c r="G168" i="143"/>
  <c r="F168" i="143"/>
  <c r="AB165" i="143"/>
  <c r="AC165" i="143" s="1"/>
  <c r="X166" i="143"/>
  <c r="P166" i="143"/>
  <c r="R166" i="143" s="1"/>
  <c r="O166" i="143"/>
  <c r="N167" i="143"/>
  <c r="K167" i="143" a="1"/>
  <c r="K167" i="143" s="1"/>
  <c r="Q167" i="143" a="1"/>
  <c r="Q167" i="143" s="1"/>
  <c r="AA167" i="143" l="1"/>
  <c r="X167" i="143"/>
  <c r="AB166" i="143"/>
  <c r="AC166" i="143" s="1"/>
  <c r="Z167" i="143"/>
  <c r="K168" i="143" a="1"/>
  <c r="K168" i="143" s="1"/>
  <c r="L21" i="254" s="1" a="1"/>
  <c r="L21" i="254" s="1"/>
  <c r="N168" i="143"/>
  <c r="Q168" i="143" a="1"/>
  <c r="Q168" i="143" s="1"/>
  <c r="Y167" i="143"/>
  <c r="G169" i="143"/>
  <c r="D170" i="143"/>
  <c r="F169" i="143"/>
  <c r="J169" i="143"/>
  <c r="I169" i="143"/>
  <c r="H169" i="143"/>
  <c r="E169" i="143"/>
  <c r="O167" i="143"/>
  <c r="P167" i="143"/>
  <c r="R167" i="143" s="1"/>
  <c r="L32" i="254" l="1"/>
  <c r="L29" i="254"/>
  <c r="AA168" i="143"/>
  <c r="AB167" i="143"/>
  <c r="AC167" i="143" s="1"/>
  <c r="Y168" i="143"/>
  <c r="Z168" i="143"/>
  <c r="X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M21" i="254" s="1" a="1"/>
  <c r="M21" i="254" s="1"/>
  <c r="M29" i="254" l="1"/>
  <c r="M32" i="254"/>
  <c r="AB168" i="143"/>
  <c r="AC168" i="143" s="1"/>
  <c r="Z169" i="143"/>
  <c r="P169" i="143"/>
  <c r="R169" i="143" s="1"/>
  <c r="O169" i="143"/>
  <c r="Y169" i="143"/>
  <c r="X169" i="143"/>
  <c r="Q170" i="143" a="1"/>
  <c r="Q170" i="143" s="1"/>
  <c r="N170" i="143"/>
  <c r="K170" i="143" a="1"/>
  <c r="K170" i="143" s="1"/>
  <c r="N21" i="254" s="1" a="1"/>
  <c r="N21" i="254" s="1"/>
  <c r="G171" i="143"/>
  <c r="H171" i="143"/>
  <c r="I171" i="143"/>
  <c r="F171" i="143"/>
  <c r="E171" i="143"/>
  <c r="J171" i="143"/>
  <c r="D172" i="143"/>
  <c r="AA169" i="143"/>
  <c r="N29" i="254" l="1"/>
  <c r="N32" i="254"/>
  <c r="Z170" i="143"/>
  <c r="AB169" i="143"/>
  <c r="AC169" i="143" s="1"/>
  <c r="Y170" i="143"/>
  <c r="X170" i="143"/>
  <c r="AA170" i="143" s="1"/>
  <c r="K171" i="143" a="1"/>
  <c r="K171" i="143" s="1"/>
  <c r="O21" i="254" s="1" a="1"/>
  <c r="O21" i="254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O29" i="254" l="1"/>
  <c r="O32" i="254"/>
  <c r="Y171" i="143"/>
  <c r="AB170" i="143"/>
  <c r="AC170" i="143" s="1"/>
  <c r="Z171" i="143"/>
  <c r="F173" i="143"/>
  <c r="E173" i="143"/>
  <c r="J173" i="143"/>
  <c r="G173" i="143"/>
  <c r="H173" i="143"/>
  <c r="D174" i="143"/>
  <c r="I173" i="143"/>
  <c r="X171" i="143"/>
  <c r="AA171" i="143" s="1"/>
  <c r="Q172" i="143" a="1"/>
  <c r="Q172" i="143" s="1"/>
  <c r="N172" i="143"/>
  <c r="K172" i="143" a="1"/>
  <c r="K172" i="143" s="1"/>
  <c r="P21" i="254" s="1" a="1"/>
  <c r="P21" i="254" s="1"/>
  <c r="P171" i="143"/>
  <c r="R171" i="143" s="1"/>
  <c r="O171" i="143"/>
  <c r="P29" i="254" l="1"/>
  <c r="P32" i="254"/>
  <c r="AB171" i="143"/>
  <c r="AC171" i="143" s="1"/>
  <c r="X172" i="143"/>
  <c r="Z172" i="143"/>
  <c r="Y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Q21" i="254" s="1" a="1"/>
  <c r="Q21" i="254" s="1"/>
  <c r="AA172" i="143"/>
  <c r="Q29" i="254" l="1"/>
  <c r="Q32" i="254"/>
  <c r="Y173" i="143"/>
  <c r="Z173" i="143"/>
  <c r="X173" i="143"/>
  <c r="Q174" i="143" a="1"/>
  <c r="Q174" i="143" s="1"/>
  <c r="K174" i="143" a="1"/>
  <c r="K174" i="143" s="1"/>
  <c r="R21" i="254" s="1" a="1"/>
  <c r="R21" i="254" s="1"/>
  <c r="N174" i="143"/>
  <c r="I175" i="143"/>
  <c r="J175" i="143"/>
  <c r="D176" i="143"/>
  <c r="H175" i="143"/>
  <c r="F175" i="143"/>
  <c r="E175" i="143"/>
  <c r="G175" i="143"/>
  <c r="AB172" i="143"/>
  <c r="AC172" i="143" s="1"/>
  <c r="P173" i="143"/>
  <c r="R173" i="143" s="1"/>
  <c r="O173" i="143"/>
  <c r="AA173" i="143"/>
  <c r="R32" i="254" l="1"/>
  <c r="R29" i="254"/>
  <c r="AB173" i="143"/>
  <c r="AC173" i="143" s="1"/>
  <c r="AA174" i="143"/>
  <c r="X174" i="143"/>
  <c r="Z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S21" i="254" s="1" a="1"/>
  <c r="S21" i="254" s="1"/>
  <c r="O174" i="143"/>
  <c r="P174" i="143"/>
  <c r="R174" i="143" s="1"/>
  <c r="Y174" i="143"/>
  <c r="S32" i="254" l="1"/>
  <c r="S29" i="254"/>
  <c r="Y175" i="143"/>
  <c r="X175" i="143"/>
  <c r="Z175" i="143"/>
  <c r="AB174" i="143"/>
  <c r="AC174" i="143" s="1"/>
  <c r="AA175" i="143"/>
  <c r="P175" i="143"/>
  <c r="R175" i="143" s="1"/>
  <c r="O175" i="143"/>
  <c r="Q176" i="143" a="1"/>
  <c r="Q176" i="143" s="1"/>
  <c r="K176" i="143" a="1"/>
  <c r="K176" i="143" s="1"/>
  <c r="T21" i="254" s="1" a="1"/>
  <c r="T21" i="254" s="1"/>
  <c r="N176" i="143"/>
  <c r="E177" i="143"/>
  <c r="D178" i="143"/>
  <c r="I177" i="143"/>
  <c r="H177" i="143"/>
  <c r="J177" i="143"/>
  <c r="G177" i="143"/>
  <c r="F177" i="143"/>
  <c r="T32" i="254" l="1"/>
  <c r="T29" i="254"/>
  <c r="AB175" i="143"/>
  <c r="AC175" i="143" s="1"/>
  <c r="Z176" i="143"/>
  <c r="AA176" i="143"/>
  <c r="X176" i="143"/>
  <c r="Y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U21" i="254" s="1" a="1"/>
  <c r="U21" i="254" s="1"/>
  <c r="N177" i="143"/>
  <c r="Q177" i="143" a="1"/>
  <c r="Q177" i="143" s="1"/>
  <c r="U29" i="254" l="1"/>
  <c r="U32" i="254"/>
  <c r="Y177" i="143"/>
  <c r="Z177" i="143"/>
  <c r="AB176" i="143"/>
  <c r="AC176" i="143" s="1"/>
  <c r="I179" i="143"/>
  <c r="F179" i="143"/>
  <c r="E179" i="143"/>
  <c r="G179" i="143"/>
  <c r="D180" i="143"/>
  <c r="J179" i="143"/>
  <c r="H179" i="143"/>
  <c r="K178" i="143" a="1"/>
  <c r="K178" i="143" s="1"/>
  <c r="V21" i="254" s="1" a="1"/>
  <c r="V21" i="254" s="1"/>
  <c r="N178" i="143"/>
  <c r="Q178" i="143" a="1"/>
  <c r="Q178" i="143" s="1"/>
  <c r="X177" i="143"/>
  <c r="AA177" i="143" s="1"/>
  <c r="P177" i="143"/>
  <c r="R177" i="143" s="1"/>
  <c r="O177" i="143"/>
  <c r="V29" i="254" l="1"/>
  <c r="V32" i="254"/>
  <c r="AB177" i="143"/>
  <c r="AC177" i="143" s="1"/>
  <c r="X178" i="143"/>
  <c r="AA178" i="143" s="1"/>
  <c r="Y178" i="143"/>
  <c r="I180" i="143"/>
  <c r="E180" i="143"/>
  <c r="G180" i="143"/>
  <c r="D181" i="143"/>
  <c r="J180" i="143"/>
  <c r="H180" i="143"/>
  <c r="F180" i="143"/>
  <c r="K179" i="143" a="1"/>
  <c r="K179" i="143" s="1"/>
  <c r="W21" i="254" s="1" a="1"/>
  <c r="W21" i="254" s="1"/>
  <c r="N179" i="143"/>
  <c r="Q179" i="143" a="1"/>
  <c r="Q179" i="143" s="1"/>
  <c r="P178" i="143"/>
  <c r="R178" i="143" s="1"/>
  <c r="O178" i="143"/>
  <c r="Z178" i="143"/>
  <c r="W32" i="254" l="1"/>
  <c r="W29" i="254"/>
  <c r="X179" i="143"/>
  <c r="AA179" i="143" s="1"/>
  <c r="Z179" i="143"/>
  <c r="P179" i="143"/>
  <c r="R179" i="143" s="1"/>
  <c r="O179" i="143"/>
  <c r="Y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X21" i="254" s="1" a="1"/>
  <c r="X21" i="254" s="1"/>
  <c r="AB178" i="143"/>
  <c r="AC178" i="143" s="1"/>
  <c r="X29" i="254" l="1"/>
  <c r="X32" i="254"/>
  <c r="Z180" i="143"/>
  <c r="AB179" i="143"/>
  <c r="AC179" i="143" s="1"/>
  <c r="X180" i="143"/>
  <c r="AA180" i="143" s="1"/>
  <c r="P180" i="143"/>
  <c r="R180" i="143" s="1"/>
  <c r="Y180" i="143" s="1"/>
  <c r="O180" i="143"/>
  <c r="Q181" i="143" a="1"/>
  <c r="Q181" i="143" s="1"/>
  <c r="N181" i="143"/>
  <c r="K181" i="143" a="1"/>
  <c r="K181" i="143" s="1"/>
  <c r="D183" i="143"/>
  <c r="H182" i="143"/>
  <c r="E182" i="143"/>
  <c r="G182" i="143"/>
  <c r="J182" i="143"/>
  <c r="I182" i="143"/>
  <c r="F182" i="143"/>
  <c r="AB180" i="143" l="1"/>
  <c r="AC180" i="143" s="1"/>
  <c r="AA181" i="143"/>
  <c r="P181" i="143"/>
  <c r="R181" i="143" s="1"/>
  <c r="Y181" i="143" s="1"/>
  <c r="O181" i="143"/>
  <c r="K182" i="143" a="1"/>
  <c r="K182" i="143" s="1"/>
  <c r="Q182" i="143" a="1"/>
  <c r="Q182" i="143" s="1"/>
  <c r="N182" i="143"/>
  <c r="G183" i="143"/>
  <c r="E183" i="143"/>
  <c r="J183" i="143"/>
  <c r="I183" i="143"/>
  <c r="F183" i="143"/>
  <c r="D184" i="143"/>
  <c r="H183" i="143"/>
  <c r="Z181" i="143"/>
  <c r="X181" i="143"/>
  <c r="AB181" i="143" l="1"/>
  <c r="AC181" i="143" s="1"/>
  <c r="Z182" i="143"/>
  <c r="O182" i="143"/>
  <c r="P182" i="143"/>
  <c r="R182" i="143" s="1"/>
  <c r="Y182" i="143" s="1"/>
  <c r="N183" i="143"/>
  <c r="Q183" i="143" a="1"/>
  <c r="Q183" i="143" s="1"/>
  <c r="K183" i="143" a="1"/>
  <c r="K183" i="143" s="1"/>
  <c r="H184" i="143"/>
  <c r="G184" i="143"/>
  <c r="E184" i="143"/>
  <c r="I184" i="143"/>
  <c r="J184" i="143"/>
  <c r="F184" i="143"/>
  <c r="D185" i="143"/>
  <c r="X182" i="143"/>
  <c r="AA182" i="143" s="1"/>
  <c r="Y183" i="143" l="1"/>
  <c r="AA183" i="143"/>
  <c r="Z183" i="143"/>
  <c r="AB182" i="143"/>
  <c r="AC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P183" i="143"/>
  <c r="R183" i="143" s="1"/>
  <c r="O183" i="143"/>
  <c r="X183" i="143"/>
  <c r="X184" i="143" l="1"/>
  <c r="AA184" i="143" s="1"/>
  <c r="AB183" i="143"/>
  <c r="AC183" i="143" s="1"/>
  <c r="Z184" i="143"/>
  <c r="P184" i="143"/>
  <c r="R184" i="143" s="1"/>
  <c r="O184" i="143"/>
  <c r="Y184" i="143"/>
  <c r="H186" i="143"/>
  <c r="D187" i="143"/>
  <c r="G186" i="143"/>
  <c r="F186" i="143"/>
  <c r="E186" i="143"/>
  <c r="I186" i="143"/>
  <c r="J186" i="143"/>
  <c r="K185" i="143" a="1"/>
  <c r="K185" i="143" s="1"/>
  <c r="AC21" i="254" s="1" a="1"/>
  <c r="AC21" i="254" s="1"/>
  <c r="N185" i="143"/>
  <c r="Q185" i="143" a="1"/>
  <c r="Q185" i="143" s="1"/>
  <c r="AC29" i="254" l="1"/>
  <c r="AC32" i="254"/>
  <c r="Y185" i="143"/>
  <c r="AB184" i="143"/>
  <c r="AC184" i="143" s="1"/>
  <c r="X185" i="143"/>
  <c r="AA185" i="143" s="1"/>
  <c r="Z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N186" i="143"/>
  <c r="Q186" i="143" a="1"/>
  <c r="Q186" i="143" s="1"/>
  <c r="X186" i="143" l="1"/>
  <c r="Z186" i="143"/>
  <c r="AB185" i="143"/>
  <c r="AC185" i="143" s="1"/>
  <c r="Y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AE21" i="254" s="1" a="1"/>
  <c r="AE21" i="254" s="1"/>
  <c r="Q187" i="143" a="1"/>
  <c r="Q187" i="143" s="1"/>
  <c r="N187" i="143"/>
  <c r="AA186" i="143"/>
  <c r="AE32" i="254" l="1"/>
  <c r="AE29" i="254"/>
  <c r="Z187" i="143"/>
  <c r="X187" i="143"/>
  <c r="Y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AF21" i="254" s="1" a="1"/>
  <c r="AF21" i="254" s="1"/>
  <c r="P187" i="143"/>
  <c r="R187" i="143" s="1"/>
  <c r="O187" i="143"/>
  <c r="AA187" i="143"/>
  <c r="AB186" i="143"/>
  <c r="AC186" i="143" s="1"/>
  <c r="AF32" i="254" l="1"/>
  <c r="AF29" i="254"/>
  <c r="Y188" i="143"/>
  <c r="AA188" i="143"/>
  <c r="E190" i="143"/>
  <c r="H190" i="143"/>
  <c r="I190" i="143"/>
  <c r="J190" i="143"/>
  <c r="F190" i="143"/>
  <c r="G190" i="143"/>
  <c r="D191" i="143"/>
  <c r="K189" i="143" a="1"/>
  <c r="K189" i="143" s="1"/>
  <c r="AG21" i="254" s="1" a="1"/>
  <c r="AG21" i="254" s="1"/>
  <c r="Q189" i="143" a="1"/>
  <c r="Q189" i="143" s="1"/>
  <c r="N189" i="143"/>
  <c r="O188" i="143"/>
  <c r="P188" i="143"/>
  <c r="R188" i="143" s="1"/>
  <c r="X188" i="143"/>
  <c r="Z188" i="143"/>
  <c r="AB187" i="143"/>
  <c r="AC187" i="143" s="1"/>
  <c r="AG29" i="254" l="1"/>
  <c r="AG32" i="254"/>
  <c r="AA189" i="143"/>
  <c r="Z189" i="143"/>
  <c r="AB188" i="143"/>
  <c r="AC188" i="143" s="1"/>
  <c r="Y189" i="143"/>
  <c r="P189" i="143"/>
  <c r="R189" i="143" s="1"/>
  <c r="O189" i="143"/>
  <c r="J191" i="143"/>
  <c r="F191" i="143"/>
  <c r="G191" i="143"/>
  <c r="I191" i="143"/>
  <c r="D192" i="143"/>
  <c r="E191" i="143"/>
  <c r="H191" i="143"/>
  <c r="X189" i="143"/>
  <c r="K190" i="143" a="1"/>
  <c r="K190" i="143" s="1"/>
  <c r="AH21" i="254" s="1" a="1"/>
  <c r="AH21" i="254" s="1"/>
  <c r="N190" i="143"/>
  <c r="Q190" i="143" a="1"/>
  <c r="Q190" i="143" s="1"/>
  <c r="AH32" i="254" l="1"/>
  <c r="AH29" i="254"/>
  <c r="Y190" i="143"/>
  <c r="AB189" i="143"/>
  <c r="AC189" i="143" s="1"/>
  <c r="Z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AI21" i="254" s="1" a="1"/>
  <c r="AI21" i="254" s="1"/>
  <c r="Q191" i="143" a="1"/>
  <c r="Q191" i="143" s="1"/>
  <c r="AA190" i="143"/>
  <c r="X190" i="143"/>
  <c r="AI29" i="254" l="1"/>
  <c r="AI32" i="254"/>
  <c r="Y191" i="143"/>
  <c r="Z191" i="143"/>
  <c r="AB190" i="143"/>
  <c r="AC190" i="143" s="1"/>
  <c r="P191" i="143"/>
  <c r="R191" i="143" s="1"/>
  <c r="O191" i="143"/>
  <c r="X191" i="143"/>
  <c r="AA191" i="143" s="1"/>
  <c r="K192" i="143" a="1"/>
  <c r="K192" i="143" s="1"/>
  <c r="F21" i="253" s="1" a="1"/>
  <c r="F21" i="253" s="1"/>
  <c r="N192" i="143"/>
  <c r="Q192" i="143" a="1"/>
  <c r="Q192" i="143" s="1"/>
  <c r="I193" i="143"/>
  <c r="J193" i="143"/>
  <c r="F193" i="143"/>
  <c r="H193" i="143"/>
  <c r="E193" i="143"/>
  <c r="G193" i="143"/>
  <c r="D194" i="143"/>
  <c r="F29" i="253" l="1"/>
  <c r="F32" i="253"/>
  <c r="X192" i="143"/>
  <c r="AA192" i="143" s="1"/>
  <c r="Z192" i="143"/>
  <c r="AB191" i="143"/>
  <c r="AC191" i="143" s="1"/>
  <c r="K193" i="143" a="1"/>
  <c r="K193" i="143" s="1"/>
  <c r="G21" i="253" s="1" a="1"/>
  <c r="G21" i="253" s="1"/>
  <c r="Q193" i="143" a="1"/>
  <c r="Q193" i="143" s="1"/>
  <c r="N193" i="143"/>
  <c r="P192" i="143"/>
  <c r="R192" i="143" s="1"/>
  <c r="O192" i="143"/>
  <c r="Y192" i="143"/>
  <c r="H194" i="143"/>
  <c r="G194" i="143"/>
  <c r="I194" i="143"/>
  <c r="J194" i="143"/>
  <c r="E194" i="143"/>
  <c r="F194" i="143"/>
  <c r="D195" i="143"/>
  <c r="G29" i="253" l="1"/>
  <c r="G32" i="253"/>
  <c r="Y193" i="143"/>
  <c r="AB192" i="143"/>
  <c r="AC192" i="143" s="1"/>
  <c r="Z193" i="143"/>
  <c r="AA193" i="143"/>
  <c r="N194" i="143"/>
  <c r="Q194" i="143" a="1"/>
  <c r="Q194" i="143" s="1"/>
  <c r="K194" i="143" a="1"/>
  <c r="K194" i="143" s="1"/>
  <c r="H21" i="253" s="1" a="1"/>
  <c r="H21" i="253" s="1"/>
  <c r="P193" i="143"/>
  <c r="R193" i="143" s="1"/>
  <c r="O193" i="143"/>
  <c r="E195" i="143"/>
  <c r="J195" i="143"/>
  <c r="I195" i="143"/>
  <c r="G195" i="143"/>
  <c r="H195" i="143"/>
  <c r="F195" i="143"/>
  <c r="D196" i="143"/>
  <c r="X193" i="143"/>
  <c r="H29" i="253" l="1"/>
  <c r="H32" i="253"/>
  <c r="AB193" i="143"/>
  <c r="AC193" i="143" s="1"/>
  <c r="Y194" i="143"/>
  <c r="AA194" i="143"/>
  <c r="Q195" i="143" a="1"/>
  <c r="Q195" i="143" s="1"/>
  <c r="N195" i="143"/>
  <c r="K195" i="143" a="1"/>
  <c r="K195" i="143" s="1"/>
  <c r="I21" i="253" s="1" a="1"/>
  <c r="I21" i="253" s="1"/>
  <c r="X194" i="143"/>
  <c r="Z194" i="143"/>
  <c r="F196" i="143"/>
  <c r="D197" i="143"/>
  <c r="H196" i="143"/>
  <c r="G196" i="143"/>
  <c r="E196" i="143"/>
  <c r="I196" i="143"/>
  <c r="J196" i="143"/>
  <c r="P194" i="143"/>
  <c r="R194" i="143" s="1"/>
  <c r="O194" i="143"/>
  <c r="I32" i="253" l="1"/>
  <c r="I29" i="253"/>
  <c r="Y195" i="143"/>
  <c r="AB194" i="143"/>
  <c r="AC194" i="143" s="1"/>
  <c r="P195" i="143"/>
  <c r="R195" i="143" s="1"/>
  <c r="O195" i="143"/>
  <c r="AA195" i="143"/>
  <c r="K196" i="143" a="1"/>
  <c r="K196" i="143" s="1"/>
  <c r="N196" i="143"/>
  <c r="Q196" i="143" a="1"/>
  <c r="Q196" i="143" s="1"/>
  <c r="G197" i="143"/>
  <c r="F197" i="143"/>
  <c r="E197" i="143"/>
  <c r="I197" i="143"/>
  <c r="D198" i="143"/>
  <c r="J197" i="143"/>
  <c r="H197" i="143"/>
  <c r="Z195" i="143"/>
  <c r="X195" i="143"/>
  <c r="Y196" i="143" l="1"/>
  <c r="AA196" i="143"/>
  <c r="AB195" i="143"/>
  <c r="AC195" i="143" s="1"/>
  <c r="X196" i="143"/>
  <c r="I198" i="143"/>
  <c r="H198" i="143"/>
  <c r="E198" i="143"/>
  <c r="G198" i="143"/>
  <c r="F198" i="143"/>
  <c r="D199" i="143"/>
  <c r="J198" i="143"/>
  <c r="N197" i="143"/>
  <c r="K197" i="143" a="1"/>
  <c r="K197" i="143" s="1"/>
  <c r="K21" i="253" s="1" a="1"/>
  <c r="K21" i="253" s="1"/>
  <c r="Q197" i="143" a="1"/>
  <c r="Q197" i="143" s="1"/>
  <c r="P196" i="143"/>
  <c r="R196" i="143" s="1"/>
  <c r="O196" i="143"/>
  <c r="Z196" i="143"/>
  <c r="K29" i="253" l="1"/>
  <c r="K32" i="253"/>
  <c r="Y197" i="143"/>
  <c r="AB196" i="143"/>
  <c r="AC196" i="143" s="1"/>
  <c r="AA197" i="143"/>
  <c r="X197" i="143"/>
  <c r="Z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AB197" i="143" l="1"/>
  <c r="AC197" i="143" s="1"/>
  <c r="X198" i="143"/>
  <c r="AA198" i="143" s="1"/>
  <c r="Z198" i="143"/>
  <c r="Y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M21" i="253" s="1" a="1"/>
  <c r="M21" i="253" s="1"/>
  <c r="Q199" i="143" a="1"/>
  <c r="Q199" i="143" s="1"/>
  <c r="M32" i="253" l="1"/>
  <c r="M29" i="253"/>
  <c r="AB198" i="143"/>
  <c r="AC198" i="143" s="1"/>
  <c r="Y199" i="143"/>
  <c r="X199" i="143"/>
  <c r="AA199" i="143" s="1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N21" i="253" s="1" a="1"/>
  <c r="N21" i="253" s="1"/>
  <c r="N200" i="143"/>
  <c r="O199" i="143"/>
  <c r="P199" i="143"/>
  <c r="R199" i="143" s="1"/>
  <c r="Z199" i="143"/>
  <c r="N32" i="253" l="1"/>
  <c r="N29" i="253"/>
  <c r="AA200" i="143"/>
  <c r="AB199" i="143"/>
  <c r="AC199" i="143" s="1"/>
  <c r="H202" i="143"/>
  <c r="E202" i="143"/>
  <c r="J202" i="143"/>
  <c r="G202" i="143"/>
  <c r="D203" i="143"/>
  <c r="F202" i="143"/>
  <c r="I202" i="143"/>
  <c r="Z200" i="143"/>
  <c r="Y200" i="143"/>
  <c r="Q201" i="143" a="1"/>
  <c r="Q201" i="143" s="1"/>
  <c r="K201" i="143" a="1"/>
  <c r="K201" i="143" s="1"/>
  <c r="O21" i="253" s="1" a="1"/>
  <c r="O21" i="253" s="1"/>
  <c r="N201" i="143"/>
  <c r="X200" i="143"/>
  <c r="O200" i="143"/>
  <c r="P200" i="143"/>
  <c r="R200" i="143" s="1"/>
  <c r="O29" i="253" l="1"/>
  <c r="O32" i="253"/>
  <c r="AB200" i="143"/>
  <c r="AC200" i="143" s="1"/>
  <c r="Z201" i="143"/>
  <c r="K202" i="143" a="1"/>
  <c r="K202" i="143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Y201" i="143" s="1"/>
  <c r="X201" i="143"/>
  <c r="AA201" i="143" s="1"/>
  <c r="AB201" i="143" l="1"/>
  <c r="AC201" i="143" s="1"/>
  <c r="X202" i="143"/>
  <c r="AA202" i="143"/>
  <c r="N203" i="143"/>
  <c r="Q203" i="143" a="1"/>
  <c r="Q203" i="143" s="1"/>
  <c r="K203" i="143" a="1"/>
  <c r="K203" i="143" s="1"/>
  <c r="Q21" i="253" s="1" a="1"/>
  <c r="Q21" i="253" s="1"/>
  <c r="Z202" i="143"/>
  <c r="P202" i="143"/>
  <c r="R202" i="143" s="1"/>
  <c r="Y202" i="143" s="1"/>
  <c r="O202" i="143"/>
  <c r="I204" i="143"/>
  <c r="D205" i="143"/>
  <c r="J204" i="143"/>
  <c r="F204" i="143"/>
  <c r="G204" i="143"/>
  <c r="H204" i="143"/>
  <c r="E204" i="143"/>
  <c r="Q32" i="253" l="1"/>
  <c r="Q29" i="253"/>
  <c r="Z203" i="143"/>
  <c r="AB202" i="143"/>
  <c r="AC202" i="143" s="1"/>
  <c r="D206" i="143"/>
  <c r="H205" i="143"/>
  <c r="I205" i="143"/>
  <c r="E205" i="143"/>
  <c r="F205" i="143"/>
  <c r="J205" i="143"/>
  <c r="G205" i="143"/>
  <c r="X203" i="143"/>
  <c r="AA203" i="143" s="1"/>
  <c r="Q204" i="143" a="1"/>
  <c r="Q204" i="143" s="1"/>
  <c r="N204" i="143"/>
  <c r="K204" i="143" a="1"/>
  <c r="K204" i="143" s="1"/>
  <c r="R21" i="253" s="1" a="1"/>
  <c r="R21" i="253" s="1"/>
  <c r="P203" i="143"/>
  <c r="R203" i="143" s="1"/>
  <c r="Y203" i="143" s="1"/>
  <c r="O203" i="143"/>
  <c r="R32" i="253" l="1"/>
  <c r="R29" i="253"/>
  <c r="AB203" i="143"/>
  <c r="AC203" i="143" s="1"/>
  <c r="X204" i="143"/>
  <c r="Z204" i="143"/>
  <c r="Y204" i="143"/>
  <c r="Q205" i="143" a="1"/>
  <c r="Q205" i="143" s="1"/>
  <c r="N205" i="143"/>
  <c r="K205" i="143" a="1"/>
  <c r="K205" i="143" s="1"/>
  <c r="S21" i="253" s="1" a="1"/>
  <c r="S21" i="253" s="1"/>
  <c r="AA204" i="143"/>
  <c r="O204" i="143"/>
  <c r="P204" i="143"/>
  <c r="R204" i="143" s="1"/>
  <c r="F206" i="143"/>
  <c r="J206" i="143"/>
  <c r="E206" i="143"/>
  <c r="G206" i="143"/>
  <c r="D207" i="143"/>
  <c r="I206" i="143"/>
  <c r="H206" i="143"/>
  <c r="S29" i="253" l="1"/>
  <c r="S32" i="253"/>
  <c r="Y205" i="143"/>
  <c r="X205" i="143"/>
  <c r="AA205" i="143" s="1"/>
  <c r="Z205" i="143"/>
  <c r="K206" i="143" a="1"/>
  <c r="K206" i="143" s="1"/>
  <c r="T21" i="253" s="1" a="1"/>
  <c r="T21" i="253" s="1"/>
  <c r="Q206" i="143" a="1"/>
  <c r="Q206" i="143" s="1"/>
  <c r="N206" i="143"/>
  <c r="AB204" i="143"/>
  <c r="AC204" i="143" s="1"/>
  <c r="P205" i="143"/>
  <c r="R205" i="143" s="1"/>
  <c r="O205" i="143"/>
  <c r="E207" i="143"/>
  <c r="J207" i="143"/>
  <c r="H207" i="143"/>
  <c r="F207" i="143"/>
  <c r="D208" i="143"/>
  <c r="G207" i="143"/>
  <c r="I207" i="143"/>
  <c r="T29" i="253" l="1"/>
  <c r="T32" i="253"/>
  <c r="Z206" i="143"/>
  <c r="AB205" i="143"/>
  <c r="AC205" i="143" s="1"/>
  <c r="Y206" i="143"/>
  <c r="X206" i="143"/>
  <c r="O206" i="143"/>
  <c r="P206" i="143"/>
  <c r="R206" i="143" s="1"/>
  <c r="K207" i="143" a="1"/>
  <c r="K207" i="143" s="1"/>
  <c r="U21" i="253" s="1" a="1"/>
  <c r="U21" i="253" s="1"/>
  <c r="N207" i="143"/>
  <c r="Q207" i="143" a="1"/>
  <c r="Q207" i="143" s="1"/>
  <c r="J208" i="143"/>
  <c r="E208" i="143"/>
  <c r="H208" i="143"/>
  <c r="F208" i="143"/>
  <c r="I208" i="143"/>
  <c r="G208" i="143"/>
  <c r="D209" i="143"/>
  <c r="U29" i="253" l="1"/>
  <c r="U32" i="253"/>
  <c r="AA207" i="143"/>
  <c r="X207" i="143"/>
  <c r="O207" i="143"/>
  <c r="P207" i="143"/>
  <c r="R207" i="143" s="1"/>
  <c r="N208" i="143"/>
  <c r="K208" i="143" a="1"/>
  <c r="K208" i="143" s="1"/>
  <c r="V21" i="253" s="1" a="1"/>
  <c r="V21" i="253" s="1"/>
  <c r="Q208" i="143" a="1"/>
  <c r="Q208" i="143" s="1"/>
  <c r="Y207" i="143"/>
  <c r="H209" i="143"/>
  <c r="E209" i="143"/>
  <c r="G209" i="143"/>
  <c r="I209" i="143"/>
  <c r="F209" i="143"/>
  <c r="J209" i="143"/>
  <c r="D210" i="143"/>
  <c r="Z207" i="143"/>
  <c r="AA206" i="143"/>
  <c r="AB206" i="143" s="1"/>
  <c r="AC206" i="143" s="1"/>
  <c r="V32" i="253" l="1"/>
  <c r="V29" i="253"/>
  <c r="AB207" i="143"/>
  <c r="AC207" i="143" s="1"/>
  <c r="Y208" i="143"/>
  <c r="AA208" i="143"/>
  <c r="O208" i="143"/>
  <c r="P208" i="143"/>
  <c r="R208" i="143" s="1"/>
  <c r="K209" i="143" a="1"/>
  <c r="K209" i="143" s="1"/>
  <c r="W21" i="253" s="1" a="1"/>
  <c r="W21" i="253" s="1"/>
  <c r="Q209" i="143" a="1"/>
  <c r="Q209" i="143" s="1"/>
  <c r="N209" i="143"/>
  <c r="J210" i="143"/>
  <c r="H210" i="143"/>
  <c r="D211" i="143"/>
  <c r="E210" i="143"/>
  <c r="I210" i="143"/>
  <c r="G210" i="143"/>
  <c r="F210" i="143"/>
  <c r="X208" i="143"/>
  <c r="Z208" i="143"/>
  <c r="W29" i="253" l="1"/>
  <c r="W32" i="253"/>
  <c r="Y209" i="143"/>
  <c r="X209" i="143"/>
  <c r="Z209" i="143"/>
  <c r="AA209" i="143"/>
  <c r="AB208" i="143"/>
  <c r="AC208" i="143" s="1"/>
  <c r="P209" i="143"/>
  <c r="R209" i="143" s="1"/>
  <c r="O209" i="143"/>
  <c r="Q210" i="143" a="1"/>
  <c r="Q210" i="143" s="1"/>
  <c r="K210" i="143" a="1"/>
  <c r="K210" i="143" s="1"/>
  <c r="X21" i="253" s="1" a="1"/>
  <c r="X21" i="253" s="1"/>
  <c r="N210" i="143"/>
  <c r="J211" i="143"/>
  <c r="G211" i="143"/>
  <c r="E211" i="143"/>
  <c r="D212" i="143"/>
  <c r="H211" i="143"/>
  <c r="I211" i="143"/>
  <c r="F211" i="143"/>
  <c r="X32" i="253" l="1"/>
  <c r="X29" i="253"/>
  <c r="Y210" i="143"/>
  <c r="AB209" i="143"/>
  <c r="AC209" i="143" s="1"/>
  <c r="Z210" i="143"/>
  <c r="E212" i="143"/>
  <c r="I212" i="143"/>
  <c r="G212" i="143"/>
  <c r="H212" i="143"/>
  <c r="D213" i="143"/>
  <c r="J212" i="143"/>
  <c r="F212" i="143"/>
  <c r="X210" i="143"/>
  <c r="K211" i="143" a="1"/>
  <c r="K211" i="143" s="1"/>
  <c r="Y21" i="253" s="1" a="1"/>
  <c r="Y21" i="253" s="1"/>
  <c r="Q211" i="143" a="1"/>
  <c r="Q211" i="143" s="1"/>
  <c r="N211" i="143"/>
  <c r="AA210" i="143"/>
  <c r="P210" i="143"/>
  <c r="R210" i="143" s="1"/>
  <c r="O210" i="143"/>
  <c r="Y29" i="253" l="1"/>
  <c r="Y32" i="253"/>
  <c r="Y211" i="143"/>
  <c r="Z211" i="143"/>
  <c r="X211" i="143"/>
  <c r="AB210" i="143"/>
  <c r="AC210" i="143" s="1"/>
  <c r="AA211" i="143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AB211" i="143" l="1"/>
  <c r="AC211" i="143" s="1"/>
  <c r="Z212" i="143"/>
  <c r="X212" i="143"/>
  <c r="AA212" i="143" s="1"/>
  <c r="F214" i="143"/>
  <c r="G214" i="143"/>
  <c r="I214" i="143"/>
  <c r="H214" i="143"/>
  <c r="D215" i="143"/>
  <c r="J214" i="143"/>
  <c r="E214" i="143"/>
  <c r="Y212" i="143"/>
  <c r="O212" i="143"/>
  <c r="P212" i="143"/>
  <c r="R212" i="143" s="1"/>
  <c r="N213" i="143"/>
  <c r="K213" i="143" a="1"/>
  <c r="K213" i="143" s="1"/>
  <c r="AA21" i="253" s="1" a="1"/>
  <c r="AA21" i="253" s="1"/>
  <c r="Q213" i="143" a="1"/>
  <c r="Q213" i="143" s="1"/>
  <c r="AA29" i="253" l="1"/>
  <c r="AA32" i="253"/>
  <c r="Y213" i="143"/>
  <c r="Z213" i="143"/>
  <c r="AB212" i="143"/>
  <c r="AC212" i="143" s="1"/>
  <c r="F215" i="143"/>
  <c r="H215" i="143"/>
  <c r="D216" i="143"/>
  <c r="I215" i="143"/>
  <c r="E215" i="143"/>
  <c r="G215" i="143"/>
  <c r="J215" i="143"/>
  <c r="X213" i="143"/>
  <c r="AA213" i="143" s="1"/>
  <c r="Q214" i="143" a="1"/>
  <c r="Q214" i="143" s="1"/>
  <c r="N214" i="143"/>
  <c r="K214" i="143" a="1"/>
  <c r="K214" i="143" s="1"/>
  <c r="AB21" i="253" s="1" a="1"/>
  <c r="AB21" i="253" s="1"/>
  <c r="P213" i="143"/>
  <c r="R213" i="143" s="1"/>
  <c r="O213" i="143"/>
  <c r="AB29" i="253" l="1"/>
  <c r="AB32" i="253"/>
  <c r="AB213" i="143"/>
  <c r="AC213" i="143" s="1"/>
  <c r="X214" i="143"/>
  <c r="G216" i="143"/>
  <c r="J216" i="143"/>
  <c r="E216" i="143"/>
  <c r="I216" i="143"/>
  <c r="F216" i="143"/>
  <c r="H216" i="143"/>
  <c r="D217" i="143"/>
  <c r="AA214" i="143"/>
  <c r="Y214" i="143"/>
  <c r="O214" i="143"/>
  <c r="P214" i="143"/>
  <c r="R214" i="143" s="1"/>
  <c r="K215" i="143" a="1"/>
  <c r="K215" i="143" s="1"/>
  <c r="AC21" i="253" s="1" a="1"/>
  <c r="AC21" i="253" s="1"/>
  <c r="Q215" i="143" a="1"/>
  <c r="Q215" i="143" s="1"/>
  <c r="N215" i="143"/>
  <c r="Z214" i="143"/>
  <c r="AC32" i="253" l="1"/>
  <c r="AC29" i="253"/>
  <c r="Y215" i="143"/>
  <c r="AB214" i="143"/>
  <c r="AC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AD21" i="253" s="1" a="1"/>
  <c r="AD21" i="253" s="1"/>
  <c r="Z215" i="143"/>
  <c r="AA215" i="143"/>
  <c r="X215" i="143"/>
  <c r="O215" i="143"/>
  <c r="P215" i="143"/>
  <c r="R215" i="143" s="1"/>
  <c r="AD29" i="253" l="1"/>
  <c r="AD32" i="253"/>
  <c r="AA216" i="143"/>
  <c r="Z216" i="143"/>
  <c r="X216" i="143"/>
  <c r="Y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E21" i="253" s="1" a="1"/>
  <c r="AE21" i="253" s="1"/>
  <c r="AB215" i="143"/>
  <c r="AC215" i="143" s="1"/>
  <c r="AE29" i="253" l="1"/>
  <c r="AE32" i="253"/>
  <c r="AB216" i="143"/>
  <c r="AC216" i="143" s="1"/>
  <c r="Y217" i="143"/>
  <c r="K218" i="143" a="1"/>
  <c r="K218" i="143" s="1"/>
  <c r="AF21" i="253" s="1" a="1"/>
  <c r="AF21" i="253" s="1"/>
  <c r="Q218" i="143" a="1"/>
  <c r="Q218" i="143" s="1"/>
  <c r="N218" i="143"/>
  <c r="P217" i="143"/>
  <c r="R217" i="143" s="1"/>
  <c r="O217" i="143"/>
  <c r="AA217" i="143"/>
  <c r="J219" i="143"/>
  <c r="F219" i="143"/>
  <c r="G219" i="143"/>
  <c r="D220" i="143"/>
  <c r="I219" i="143"/>
  <c r="E219" i="143"/>
  <c r="H219" i="143"/>
  <c r="Z217" i="143"/>
  <c r="X217" i="143"/>
  <c r="AF29" i="253" l="1"/>
  <c r="AF32" i="253"/>
  <c r="Y218" i="143"/>
  <c r="AA218" i="143"/>
  <c r="Z218" i="143"/>
  <c r="X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AG21" i="253" s="1" a="1"/>
  <c r="AG21" i="253" s="1"/>
  <c r="N219" i="143"/>
  <c r="AB217" i="143"/>
  <c r="AC217" i="143" s="1"/>
  <c r="AG29" i="253" l="1"/>
  <c r="AG32" i="253"/>
  <c r="Y219" i="143"/>
  <c r="AB218" i="143"/>
  <c r="AC218" i="143" s="1"/>
  <c r="Z219" i="143"/>
  <c r="E221" i="143"/>
  <c r="G221" i="143"/>
  <c r="H221" i="143"/>
  <c r="J221" i="143"/>
  <c r="I221" i="143"/>
  <c r="F221" i="143"/>
  <c r="D222" i="143"/>
  <c r="X219" i="143"/>
  <c r="AA219" i="143" s="1"/>
  <c r="K220" i="143" a="1"/>
  <c r="K220" i="143" s="1"/>
  <c r="AH21" i="253" s="1" a="1"/>
  <c r="AH21" i="253" s="1"/>
  <c r="Q220" i="143" a="1"/>
  <c r="Q220" i="143" s="1"/>
  <c r="N220" i="143"/>
  <c r="O219" i="143"/>
  <c r="P219" i="143"/>
  <c r="R219" i="143" s="1"/>
  <c r="AH32" i="253" l="1"/>
  <c r="AH29" i="253"/>
  <c r="Z220" i="143"/>
  <c r="AB219" i="143"/>
  <c r="AC219" i="143" s="1"/>
  <c r="X220" i="143"/>
  <c r="AA220" i="143" s="1"/>
  <c r="H222" i="143"/>
  <c r="F222" i="143"/>
  <c r="G222" i="143"/>
  <c r="E222" i="143"/>
  <c r="J222" i="143"/>
  <c r="I222" i="143"/>
  <c r="D223" i="143"/>
  <c r="K221" i="143" a="1"/>
  <c r="K221" i="143" s="1"/>
  <c r="AI21" i="253" s="1" a="1"/>
  <c r="AI21" i="253" s="1"/>
  <c r="N221" i="143"/>
  <c r="Q221" i="143" a="1"/>
  <c r="Q221" i="143" s="1"/>
  <c r="O220" i="143"/>
  <c r="P220" i="143"/>
  <c r="R220" i="143" s="1"/>
  <c r="Y220" i="143" s="1"/>
  <c r="AI29" i="253" l="1"/>
  <c r="AI32" i="253"/>
  <c r="AB220" i="143"/>
  <c r="AC220" i="143" s="1"/>
  <c r="X221" i="143"/>
  <c r="AA221" i="143"/>
  <c r="P221" i="143"/>
  <c r="R221" i="143" s="1"/>
  <c r="Y221" i="143" s="1"/>
  <c r="O221" i="143"/>
  <c r="Z221" i="143"/>
  <c r="F223" i="143"/>
  <c r="I223" i="143"/>
  <c r="E223" i="143"/>
  <c r="J223" i="143"/>
  <c r="D224" i="143"/>
  <c r="G223" i="143"/>
  <c r="H223" i="143"/>
  <c r="K222" i="143" a="1"/>
  <c r="K222" i="143" s="1"/>
  <c r="N222" i="143"/>
  <c r="Q222" i="143" a="1"/>
  <c r="Q222" i="143" s="1"/>
  <c r="AB221" i="143" l="1"/>
  <c r="AC221" i="143" s="1"/>
  <c r="K223" i="143" a="1"/>
  <c r="K223" i="143" s="1"/>
  <c r="F21" i="252" s="1" a="1"/>
  <c r="F21" i="252" s="1"/>
  <c r="N223" i="143"/>
  <c r="Q223" i="143" a="1"/>
  <c r="Q223" i="143" s="1"/>
  <c r="P222" i="143"/>
  <c r="R222" i="143" s="1"/>
  <c r="Y222" i="143" s="1"/>
  <c r="O222" i="143"/>
  <c r="X222" i="143"/>
  <c r="H224" i="143"/>
  <c r="J224" i="143"/>
  <c r="F224" i="143"/>
  <c r="I224" i="143"/>
  <c r="G224" i="143"/>
  <c r="D225" i="143"/>
  <c r="E224" i="143"/>
  <c r="Z222" i="143"/>
  <c r="AA222" i="143"/>
  <c r="F29" i="252" l="1"/>
  <c r="F32" i="252"/>
  <c r="Z223" i="143"/>
  <c r="AB222" i="143"/>
  <c r="AC222" i="143" s="1"/>
  <c r="O223" i="143"/>
  <c r="P223" i="143"/>
  <c r="R223" i="143" s="1"/>
  <c r="Y223" i="143" s="1"/>
  <c r="K224" i="143" a="1"/>
  <c r="K224" i="143" s="1"/>
  <c r="G21" i="252" s="1" a="1"/>
  <c r="G21" i="252" s="1"/>
  <c r="N224" i="143"/>
  <c r="Q224" i="143" a="1"/>
  <c r="Q224" i="143" s="1"/>
  <c r="X223" i="143"/>
  <c r="AA223" i="143" s="1"/>
  <c r="E225" i="143"/>
  <c r="I225" i="143"/>
  <c r="D226" i="143"/>
  <c r="F225" i="143"/>
  <c r="G225" i="143"/>
  <c r="H225" i="143"/>
  <c r="J225" i="143"/>
  <c r="G29" i="252" l="1"/>
  <c r="G32" i="252"/>
  <c r="AB223" i="143"/>
  <c r="AC223" i="143" s="1"/>
  <c r="AA224" i="143"/>
  <c r="Z224" i="143"/>
  <c r="Y224" i="143"/>
  <c r="O224" i="143"/>
  <c r="P224" i="143"/>
  <c r="R224" i="143" s="1"/>
  <c r="X224" i="143"/>
  <c r="K225" i="143" a="1"/>
  <c r="K225" i="143" s="1"/>
  <c r="H21" i="252" s="1" a="1"/>
  <c r="H21" i="252" s="1"/>
  <c r="N225" i="143"/>
  <c r="Q225" i="143" a="1"/>
  <c r="Q225" i="143" s="1"/>
  <c r="E226" i="143"/>
  <c r="H226" i="143"/>
  <c r="G226" i="143"/>
  <c r="J226" i="143"/>
  <c r="F226" i="143"/>
  <c r="I226" i="143"/>
  <c r="D227" i="143"/>
  <c r="H29" i="252" l="1"/>
  <c r="H32" i="252"/>
  <c r="Y225" i="143"/>
  <c r="Z225" i="143"/>
  <c r="AA225" i="143"/>
  <c r="AB224" i="143"/>
  <c r="AC224" i="143" s="1"/>
  <c r="F227" i="143"/>
  <c r="D228" i="143"/>
  <c r="G227" i="143"/>
  <c r="I227" i="143"/>
  <c r="E227" i="143"/>
  <c r="J227" i="143"/>
  <c r="H227" i="143"/>
  <c r="X225" i="143"/>
  <c r="K226" i="143" a="1"/>
  <c r="K226" i="143" s="1"/>
  <c r="I21" i="252" s="1" a="1"/>
  <c r="I21" i="252" s="1"/>
  <c r="N226" i="143"/>
  <c r="Q226" i="143" a="1"/>
  <c r="Q226" i="143" s="1"/>
  <c r="O225" i="143"/>
  <c r="P225" i="143"/>
  <c r="R225" i="143" s="1"/>
  <c r="I29" i="252" l="1"/>
  <c r="I32" i="252"/>
  <c r="Y226" i="143"/>
  <c r="AB225" i="143"/>
  <c r="AC225" i="143" s="1"/>
  <c r="O226" i="143"/>
  <c r="P226" i="143"/>
  <c r="R226" i="143" s="1"/>
  <c r="I228" i="143"/>
  <c r="E228" i="143"/>
  <c r="G228" i="143"/>
  <c r="J228" i="143"/>
  <c r="D229" i="143"/>
  <c r="F228" i="143"/>
  <c r="H228" i="143"/>
  <c r="X226" i="143"/>
  <c r="AA226" i="143" s="1"/>
  <c r="Z226" i="143"/>
  <c r="K227" i="143" a="1"/>
  <c r="K227" i="143" s="1"/>
  <c r="J21" i="252" s="1" a="1"/>
  <c r="J21" i="252" s="1"/>
  <c r="Q227" i="143" a="1"/>
  <c r="Q227" i="143" s="1"/>
  <c r="N227" i="143"/>
  <c r="J29" i="252" l="1"/>
  <c r="J32" i="252"/>
  <c r="Y227" i="143"/>
  <c r="X227" i="143"/>
  <c r="AA227" i="143" s="1"/>
  <c r="Z227" i="143"/>
  <c r="AB226" i="143"/>
  <c r="AC226" i="143" s="1"/>
  <c r="Q228" i="143" a="1"/>
  <c r="Q228" i="143" s="1"/>
  <c r="K228" i="143" a="1"/>
  <c r="K228" i="143" s="1"/>
  <c r="K21" i="252" s="1" a="1"/>
  <c r="K21" i="252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K32" i="252" l="1"/>
  <c r="K29" i="252"/>
  <c r="Y228" i="143"/>
  <c r="AB227" i="143"/>
  <c r="AC227" i="143" s="1"/>
  <c r="X228" i="143"/>
  <c r="AA228" i="143"/>
  <c r="Z228" i="143"/>
  <c r="P228" i="143"/>
  <c r="R228" i="143" s="1"/>
  <c r="O228" i="143"/>
  <c r="Q229" i="143" a="1"/>
  <c r="Q229" i="143" s="1"/>
  <c r="K229" i="143" a="1"/>
  <c r="K229" i="143" s="1"/>
  <c r="L21" i="252" s="1" a="1"/>
  <c r="L21" i="252" s="1"/>
  <c r="N229" i="143"/>
  <c r="I230" i="143"/>
  <c r="G230" i="143"/>
  <c r="H230" i="143"/>
  <c r="E230" i="143"/>
  <c r="J230" i="143"/>
  <c r="F230" i="143"/>
  <c r="D231" i="143"/>
  <c r="L29" i="252" l="1"/>
  <c r="L32" i="252"/>
  <c r="Y229" i="143"/>
  <c r="AB228" i="143"/>
  <c r="AC228" i="143" s="1"/>
  <c r="Z229" i="143"/>
  <c r="AA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M21" i="252" s="1" a="1"/>
  <c r="M21" i="252" s="1"/>
  <c r="N230" i="143"/>
  <c r="Q230" i="143" a="1"/>
  <c r="Q230" i="143" s="1"/>
  <c r="X229" i="143"/>
  <c r="M29" i="252" l="1"/>
  <c r="M32" i="252"/>
  <c r="Y230" i="143"/>
  <c r="Z230" i="143"/>
  <c r="X230" i="143"/>
  <c r="AB229" i="143"/>
  <c r="AC229" i="143" s="1"/>
  <c r="AA230" i="143"/>
  <c r="I232" i="143"/>
  <c r="J232" i="143"/>
  <c r="F232" i="143"/>
  <c r="D233" i="143"/>
  <c r="H232" i="143"/>
  <c r="G232" i="143"/>
  <c r="E232" i="143"/>
  <c r="K231" i="143" a="1"/>
  <c r="K231" i="143" s="1"/>
  <c r="N21" i="252" s="1" a="1"/>
  <c r="N21" i="252" s="1"/>
  <c r="N231" i="143"/>
  <c r="Q231" i="143" a="1"/>
  <c r="Q231" i="143" s="1"/>
  <c r="O230" i="143"/>
  <c r="P230" i="143"/>
  <c r="R230" i="143" s="1"/>
  <c r="N29" i="252" l="1"/>
  <c r="N32" i="252"/>
  <c r="AB230" i="143"/>
  <c r="AC230" i="143" s="1"/>
  <c r="X231" i="143"/>
  <c r="Y231" i="143"/>
  <c r="AA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N232" i="143"/>
  <c r="Z231" i="143"/>
  <c r="AB231" i="143" l="1"/>
  <c r="AC231" i="143" s="1"/>
  <c r="Z232" i="143"/>
  <c r="Y232" i="143"/>
  <c r="Q233" i="143" a="1"/>
  <c r="Q233" i="143" s="1"/>
  <c r="K233" i="143" a="1"/>
  <c r="K233" i="143" s="1"/>
  <c r="P21" i="252" s="1" a="1"/>
  <c r="P21" i="252" s="1"/>
  <c r="N233" i="143"/>
  <c r="P232" i="143"/>
  <c r="R232" i="143" s="1"/>
  <c r="O232" i="143"/>
  <c r="X232" i="143"/>
  <c r="J234" i="143"/>
  <c r="F234" i="143"/>
  <c r="H234" i="143"/>
  <c r="D235" i="143"/>
  <c r="G234" i="143"/>
  <c r="E234" i="143"/>
  <c r="I234" i="143"/>
  <c r="AA232" i="143"/>
  <c r="P29" i="252" l="1"/>
  <c r="P32" i="252"/>
  <c r="Z233" i="143"/>
  <c r="Y233" i="143"/>
  <c r="X233" i="143"/>
  <c r="AA233" i="143" s="1"/>
  <c r="P233" i="143"/>
  <c r="R233" i="143" s="1"/>
  <c r="O233" i="143"/>
  <c r="N234" i="143"/>
  <c r="K234" i="143" a="1"/>
  <c r="K234" i="143" s="1"/>
  <c r="Q21" i="252" s="1" a="1"/>
  <c r="Q21" i="252" s="1"/>
  <c r="Q234" i="143" a="1"/>
  <c r="Q234" i="143" s="1"/>
  <c r="I235" i="143"/>
  <c r="F235" i="143"/>
  <c r="H235" i="143"/>
  <c r="E235" i="143"/>
  <c r="J235" i="143"/>
  <c r="G235" i="143"/>
  <c r="D236" i="143"/>
  <c r="AB232" i="143"/>
  <c r="AC232" i="143" s="1"/>
  <c r="Q32" i="252" l="1"/>
  <c r="Q29" i="252"/>
  <c r="Y234" i="143"/>
  <c r="AB233" i="143"/>
  <c r="AC233" i="143" s="1"/>
  <c r="X234" i="143"/>
  <c r="AA234" i="143" s="1"/>
  <c r="K235" i="143" a="1"/>
  <c r="K235" i="143" s="1"/>
  <c r="R21" i="252" s="1" a="1"/>
  <c r="R21" i="252" s="1"/>
  <c r="Q235" i="143" a="1"/>
  <c r="Q235" i="143" s="1"/>
  <c r="N235" i="143"/>
  <c r="Z234" i="143"/>
  <c r="I236" i="143"/>
  <c r="G236" i="143"/>
  <c r="D237" i="143"/>
  <c r="J236" i="143"/>
  <c r="F236" i="143"/>
  <c r="H236" i="143"/>
  <c r="E236" i="143"/>
  <c r="P234" i="143"/>
  <c r="R234" i="143" s="1"/>
  <c r="O234" i="143"/>
  <c r="R32" i="252" l="1"/>
  <c r="R29" i="252"/>
  <c r="Z235" i="143"/>
  <c r="AB234" i="143"/>
  <c r="AC234" i="143" s="1"/>
  <c r="X235" i="143"/>
  <c r="AA235" i="143" s="1"/>
  <c r="O235" i="143"/>
  <c r="P235" i="143"/>
  <c r="R235" i="143" s="1"/>
  <c r="Y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S21" i="252" s="1" a="1"/>
  <c r="S21" i="252" s="1"/>
  <c r="Q236" i="143" a="1"/>
  <c r="Q236" i="143" s="1"/>
  <c r="S29" i="252" l="1"/>
  <c r="S32" i="252"/>
  <c r="AB235" i="143"/>
  <c r="AC235" i="143" s="1"/>
  <c r="Z236" i="143"/>
  <c r="X236" i="143"/>
  <c r="AA236" i="143" s="1"/>
  <c r="N237" i="143"/>
  <c r="Q237" i="143" a="1"/>
  <c r="Q237" i="143" s="1"/>
  <c r="K237" i="143" a="1"/>
  <c r="K237" i="143" s="1"/>
  <c r="T21" i="252" s="1" a="1"/>
  <c r="T21" i="252" s="1"/>
  <c r="O236" i="143"/>
  <c r="P236" i="143"/>
  <c r="R236" i="143" s="1"/>
  <c r="Y236" i="143" s="1"/>
  <c r="G238" i="143"/>
  <c r="I238" i="143"/>
  <c r="D239" i="143"/>
  <c r="H238" i="143"/>
  <c r="E238" i="143"/>
  <c r="J238" i="143"/>
  <c r="F238" i="143"/>
  <c r="T29" i="252" l="1"/>
  <c r="T32" i="252"/>
  <c r="Z237" i="143"/>
  <c r="AB236" i="143"/>
  <c r="AC236" i="143" s="1"/>
  <c r="AA237" i="143"/>
  <c r="O237" i="143"/>
  <c r="P237" i="143"/>
  <c r="R237" i="143" s="1"/>
  <c r="Y237" i="143" s="1"/>
  <c r="G239" i="143"/>
  <c r="I239" i="143"/>
  <c r="F239" i="143"/>
  <c r="H239" i="143"/>
  <c r="E239" i="143"/>
  <c r="D240" i="143"/>
  <c r="J239" i="143"/>
  <c r="K238" i="143" a="1"/>
  <c r="K238" i="143" s="1"/>
  <c r="U21" i="252" s="1" a="1"/>
  <c r="U21" i="252" s="1"/>
  <c r="N238" i="143"/>
  <c r="Q238" i="143" a="1"/>
  <c r="Q238" i="143" s="1"/>
  <c r="X237" i="143"/>
  <c r="U29" i="252" l="1"/>
  <c r="U32" i="252"/>
  <c r="Z238" i="143"/>
  <c r="AB237" i="143"/>
  <c r="AC237" i="143" s="1"/>
  <c r="X238" i="143"/>
  <c r="AA238" i="143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V21" i="252" s="1" a="1"/>
  <c r="V21" i="252" s="1"/>
  <c r="P238" i="143"/>
  <c r="R238" i="143" s="1"/>
  <c r="Y238" i="143" s="1"/>
  <c r="O238" i="143"/>
  <c r="V29" i="252" l="1"/>
  <c r="V32" i="252"/>
  <c r="Y239" i="143"/>
  <c r="AB238" i="143"/>
  <c r="AC238" i="143" s="1"/>
  <c r="X239" i="143"/>
  <c r="AA239" i="143"/>
  <c r="Q240" i="143" a="1"/>
  <c r="Q240" i="143" s="1"/>
  <c r="K240" i="143" a="1"/>
  <c r="K240" i="143" s="1"/>
  <c r="W21" i="252" s="1" a="1"/>
  <c r="W21" i="252" s="1"/>
  <c r="N240" i="143"/>
  <c r="Z239" i="143"/>
  <c r="I241" i="143"/>
  <c r="J241" i="143"/>
  <c r="F241" i="143"/>
  <c r="E241" i="143"/>
  <c r="G241" i="143"/>
  <c r="D242" i="143"/>
  <c r="H241" i="143"/>
  <c r="O239" i="143"/>
  <c r="P239" i="143"/>
  <c r="R239" i="143" s="1"/>
  <c r="W29" i="252" l="1"/>
  <c r="W32" i="252"/>
  <c r="Z240" i="143"/>
  <c r="Y240" i="143"/>
  <c r="AB239" i="143"/>
  <c r="AC239" i="143" s="1"/>
  <c r="X240" i="143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X21" i="252" s="1" a="1"/>
  <c r="X21" i="252" s="1"/>
  <c r="P240" i="143"/>
  <c r="R240" i="143" s="1"/>
  <c r="O240" i="143"/>
  <c r="X29" i="252" l="1"/>
  <c r="X32" i="252"/>
  <c r="X241" i="143"/>
  <c r="AA241" i="143" s="1"/>
  <c r="Y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A240" i="143"/>
  <c r="AB240" i="143" s="1"/>
  <c r="AC240" i="143" s="1"/>
  <c r="Z241" i="143"/>
  <c r="Y242" i="143" l="1"/>
  <c r="X242" i="143"/>
  <c r="AB241" i="143"/>
  <c r="AC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Z21" i="252" s="1" a="1"/>
  <c r="Z21" i="252" s="1"/>
  <c r="Z242" i="143"/>
  <c r="AA242" i="143"/>
  <c r="Z32" i="252" l="1"/>
  <c r="Z29" i="252"/>
  <c r="Y243" i="143"/>
  <c r="AB242" i="143"/>
  <c r="AC242" i="143" s="1"/>
  <c r="Z243" i="143"/>
  <c r="F245" i="143"/>
  <c r="H245" i="143"/>
  <c r="D246" i="143"/>
  <c r="E245" i="143"/>
  <c r="J245" i="143"/>
  <c r="I245" i="143"/>
  <c r="G245" i="143"/>
  <c r="X243" i="143"/>
  <c r="O243" i="143"/>
  <c r="P243" i="143"/>
  <c r="R243" i="143" s="1"/>
  <c r="N244" i="143"/>
  <c r="Q244" i="143" a="1"/>
  <c r="Q244" i="143" s="1"/>
  <c r="K244" i="143" a="1"/>
  <c r="K244" i="143" s="1"/>
  <c r="AA243" i="143"/>
  <c r="Y244" i="143" l="1"/>
  <c r="Z244" i="143"/>
  <c r="AB243" i="143"/>
  <c r="AC243" i="143" s="1"/>
  <c r="X244" i="143"/>
  <c r="AA244" i="143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AB21" i="252" s="1" a="1"/>
  <c r="AB21" i="252" s="1"/>
  <c r="O244" i="143"/>
  <c r="P244" i="143"/>
  <c r="R244" i="143" s="1"/>
  <c r="AB29" i="252" l="1"/>
  <c r="AB32" i="252"/>
  <c r="AB244" i="143"/>
  <c r="AC244" i="143" s="1"/>
  <c r="Z245" i="143"/>
  <c r="I247" i="143"/>
  <c r="H247" i="143"/>
  <c r="D248" i="143"/>
  <c r="F247" i="143"/>
  <c r="E247" i="143"/>
  <c r="J247" i="143"/>
  <c r="G247" i="143"/>
  <c r="K246" i="143" a="1"/>
  <c r="K246" i="143" s="1"/>
  <c r="AC21" i="252" s="1" a="1"/>
  <c r="AC21" i="252" s="1"/>
  <c r="Q246" i="143" a="1"/>
  <c r="Q246" i="143" s="1"/>
  <c r="N246" i="143"/>
  <c r="Y245" i="143"/>
  <c r="O245" i="143"/>
  <c r="P245" i="143"/>
  <c r="R245" i="143" s="1"/>
  <c r="AA245" i="143"/>
  <c r="X245" i="143"/>
  <c r="AC29" i="252" l="1"/>
  <c r="AC32" i="252"/>
  <c r="AA246" i="143"/>
  <c r="AB245" i="143"/>
  <c r="AC245" i="143" s="1"/>
  <c r="Z246" i="143"/>
  <c r="O246" i="143"/>
  <c r="P246" i="143"/>
  <c r="R246" i="143" s="1"/>
  <c r="Y246" i="143"/>
  <c r="E248" i="143"/>
  <c r="I248" i="143"/>
  <c r="G248" i="143"/>
  <c r="H248" i="143"/>
  <c r="D249" i="143"/>
  <c r="J248" i="143"/>
  <c r="F248" i="143"/>
  <c r="X246" i="143"/>
  <c r="Q247" i="143" a="1"/>
  <c r="Q247" i="143" s="1"/>
  <c r="N247" i="143"/>
  <c r="K247" i="143" a="1"/>
  <c r="K247" i="143" s="1"/>
  <c r="AD21" i="252" s="1" a="1"/>
  <c r="AD21" i="252" s="1"/>
  <c r="AD29" i="252" l="1"/>
  <c r="AD32" i="252"/>
  <c r="Z247" i="143"/>
  <c r="AB246" i="143"/>
  <c r="AC246" i="143" s="1"/>
  <c r="K248" i="143" a="1"/>
  <c r="K248" i="143" s="1"/>
  <c r="AE21" i="252" s="1" a="1"/>
  <c r="AE21" i="252" s="1"/>
  <c r="Q248" i="143" a="1"/>
  <c r="Q248" i="143" s="1"/>
  <c r="N248" i="143"/>
  <c r="Y247" i="143"/>
  <c r="O247" i="143"/>
  <c r="P247" i="143"/>
  <c r="R247" i="143" s="1"/>
  <c r="X247" i="143"/>
  <c r="AA247" i="143" s="1"/>
  <c r="F249" i="143"/>
  <c r="J249" i="143"/>
  <c r="E249" i="143"/>
  <c r="I249" i="143"/>
  <c r="H249" i="143"/>
  <c r="G249" i="143"/>
  <c r="D250" i="143"/>
  <c r="AE29" i="252" l="1"/>
  <c r="AE32" i="252"/>
  <c r="Z248" i="143"/>
  <c r="Y248" i="143"/>
  <c r="AB247" i="143"/>
  <c r="AC247" i="143" s="1"/>
  <c r="X248" i="143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AF21" i="252" s="1" a="1"/>
  <c r="AF21" i="252" s="1"/>
  <c r="Q249" i="143" a="1"/>
  <c r="Q249" i="143" s="1"/>
  <c r="N249" i="143"/>
  <c r="AF29" i="252" l="1"/>
  <c r="AF32" i="252"/>
  <c r="AA249" i="143"/>
  <c r="X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AG21" i="252" s="1" a="1"/>
  <c r="AG21" i="252" s="1"/>
  <c r="P249" i="143"/>
  <c r="R249" i="143" s="1"/>
  <c r="O249" i="143"/>
  <c r="AA248" i="143"/>
  <c r="AB248" i="143" s="1"/>
  <c r="AC248" i="143" s="1"/>
  <c r="Y249" i="143"/>
  <c r="Z249" i="143"/>
  <c r="AG29" i="252" l="1"/>
  <c r="AG32" i="252"/>
  <c r="Y250" i="143"/>
  <c r="X250" i="143"/>
  <c r="Z250" i="143"/>
  <c r="AA250" i="143"/>
  <c r="O250" i="143"/>
  <c r="P250" i="143"/>
  <c r="R250" i="143" s="1"/>
  <c r="AB249" i="143"/>
  <c r="AC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AH21" i="252" s="1" a="1"/>
  <c r="AH21" i="252" s="1"/>
  <c r="N251" i="143"/>
  <c r="AH29" i="252" l="1"/>
  <c r="AH32" i="252"/>
  <c r="AB250" i="143"/>
  <c r="AC250" i="143" s="1"/>
  <c r="X251" i="143"/>
  <c r="Z251" i="143"/>
  <c r="AA251" i="143"/>
  <c r="O251" i="143"/>
  <c r="P251" i="143"/>
  <c r="R251" i="143" s="1"/>
  <c r="Y251" i="143" s="1"/>
  <c r="K252" i="143" a="1"/>
  <c r="K252" i="143" s="1"/>
  <c r="AI21" i="252" s="1" a="1"/>
  <c r="AI21" i="252" s="1"/>
  <c r="N252" i="143"/>
  <c r="Q252" i="143" a="1"/>
  <c r="Q252" i="143" s="1"/>
  <c r="F253" i="143"/>
  <c r="J253" i="143"/>
  <c r="E253" i="143"/>
  <c r="D254" i="143"/>
  <c r="I253" i="143"/>
  <c r="G253" i="143"/>
  <c r="H253" i="143"/>
  <c r="AI29" i="252" l="1"/>
  <c r="AI32" i="252"/>
  <c r="AB251" i="143"/>
  <c r="AC251" i="143" s="1"/>
  <c r="X252" i="143"/>
  <c r="F254" i="143"/>
  <c r="G254" i="143"/>
  <c r="H254" i="143"/>
  <c r="D255" i="143"/>
  <c r="I254" i="143"/>
  <c r="E254" i="143"/>
  <c r="J254" i="143"/>
  <c r="O252" i="143"/>
  <c r="P252" i="143"/>
  <c r="R252" i="143" s="1"/>
  <c r="Y252" i="143" s="1"/>
  <c r="AA252" i="143"/>
  <c r="K253" i="143" a="1"/>
  <c r="K253" i="143" s="1"/>
  <c r="AJ21" i="252" s="1" a="1"/>
  <c r="AJ21" i="252" s="1"/>
  <c r="Q253" i="143" a="1"/>
  <c r="Q253" i="143" s="1"/>
  <c r="N253" i="143"/>
  <c r="Z252" i="143"/>
  <c r="AJ32" i="252" l="1"/>
  <c r="AJ29" i="252"/>
  <c r="Y253" i="143"/>
  <c r="AB252" i="143"/>
  <c r="AC252" i="143" s="1"/>
  <c r="AA253" i="143"/>
  <c r="Z253" i="143"/>
  <c r="O253" i="143"/>
  <c r="P253" i="143"/>
  <c r="R253" i="143" s="1"/>
  <c r="K254" i="143" a="1"/>
  <c r="K254" i="143" s="1"/>
  <c r="F21" i="251" s="1" a="1"/>
  <c r="F21" i="251" s="1"/>
  <c r="N254" i="143"/>
  <c r="Q254" i="143" a="1"/>
  <c r="Q254" i="143" s="1"/>
  <c r="G255" i="143"/>
  <c r="I255" i="143"/>
  <c r="F255" i="143"/>
  <c r="E255" i="143"/>
  <c r="H255" i="143"/>
  <c r="J255" i="143"/>
  <c r="D256" i="143"/>
  <c r="X253" i="143"/>
  <c r="F29" i="251" l="1"/>
  <c r="F32" i="251"/>
  <c r="AB253" i="143"/>
  <c r="AC253" i="143" s="1"/>
  <c r="P254" i="143"/>
  <c r="R254" i="143" s="1"/>
  <c r="O254" i="143"/>
  <c r="Y254" i="143"/>
  <c r="N255" i="143"/>
  <c r="Q255" i="143" a="1"/>
  <c r="Q255" i="143" s="1"/>
  <c r="K255" i="143" a="1"/>
  <c r="K255" i="143" s="1"/>
  <c r="G21" i="251" s="1" a="1"/>
  <c r="G21" i="251" s="1"/>
  <c r="X254" i="143"/>
  <c r="AA254" i="143" s="1"/>
  <c r="J256" i="143"/>
  <c r="E256" i="143"/>
  <c r="G256" i="143"/>
  <c r="I256" i="143"/>
  <c r="F256" i="143"/>
  <c r="D257" i="143"/>
  <c r="H256" i="143"/>
  <c r="Z254" i="143"/>
  <c r="G29" i="251" l="1"/>
  <c r="G32" i="251"/>
  <c r="Y255" i="143"/>
  <c r="AB254" i="143"/>
  <c r="AC254" i="143" s="1"/>
  <c r="P255" i="143"/>
  <c r="R255" i="143" s="1"/>
  <c r="O255" i="143"/>
  <c r="X255" i="143"/>
  <c r="AA255" i="143" s="1"/>
  <c r="N256" i="143"/>
  <c r="K256" i="143" a="1"/>
  <c r="K256" i="143" s="1"/>
  <c r="H21" i="251" s="1" a="1"/>
  <c r="H21" i="251" s="1"/>
  <c r="Q256" i="143" a="1"/>
  <c r="Q256" i="143" s="1"/>
  <c r="Z255" i="143"/>
  <c r="E257" i="143"/>
  <c r="I257" i="143"/>
  <c r="J257" i="143"/>
  <c r="F257" i="143"/>
  <c r="H257" i="143"/>
  <c r="G257" i="143"/>
  <c r="D258" i="143"/>
  <c r="H29" i="251" l="1"/>
  <c r="H32" i="251"/>
  <c r="Y256" i="143"/>
  <c r="AB255" i="143"/>
  <c r="AC255" i="143" s="1"/>
  <c r="X256" i="143"/>
  <c r="Z256" i="143"/>
  <c r="O256" i="143"/>
  <c r="P256" i="143"/>
  <c r="R256" i="143" s="1"/>
  <c r="D259" i="143"/>
  <c r="H258" i="143"/>
  <c r="F258" i="143"/>
  <c r="I258" i="143"/>
  <c r="J258" i="143"/>
  <c r="G258" i="143"/>
  <c r="E258" i="143"/>
  <c r="AA256" i="143"/>
  <c r="N257" i="143"/>
  <c r="Q257" i="143" a="1"/>
  <c r="Q257" i="143" s="1"/>
  <c r="K257" i="143" a="1"/>
  <c r="K257" i="143" s="1"/>
  <c r="I21" i="251" s="1" a="1"/>
  <c r="I21" i="251" s="1"/>
  <c r="I29" i="251" l="1"/>
  <c r="I32" i="251"/>
  <c r="AA257" i="143"/>
  <c r="Z257" i="143"/>
  <c r="AB256" i="143"/>
  <c r="AC256" i="143" s="1"/>
  <c r="K258" i="143" a="1"/>
  <c r="K258" i="143" s="1"/>
  <c r="N258" i="143"/>
  <c r="Q258" i="143" a="1"/>
  <c r="Q258" i="143" s="1"/>
  <c r="Y257" i="143"/>
  <c r="G259" i="143"/>
  <c r="E259" i="143"/>
  <c r="J259" i="143"/>
  <c r="I259" i="143"/>
  <c r="H259" i="143"/>
  <c r="F259" i="143"/>
  <c r="D260" i="143"/>
  <c r="P257" i="143"/>
  <c r="R257" i="143" s="1"/>
  <c r="O257" i="143"/>
  <c r="X257" i="143"/>
  <c r="AB257" i="143" l="1"/>
  <c r="AC257" i="143" s="1"/>
  <c r="Y258" i="143"/>
  <c r="X258" i="143"/>
  <c r="AA258" i="143"/>
  <c r="K259" i="143" a="1"/>
  <c r="K259" i="143" s="1"/>
  <c r="K21" i="251" s="1" a="1"/>
  <c r="K21" i="251" s="1"/>
  <c r="Q259" i="143" a="1"/>
  <c r="Q259" i="143" s="1"/>
  <c r="N259" i="143"/>
  <c r="Z258" i="143"/>
  <c r="P258" i="143"/>
  <c r="R258" i="143" s="1"/>
  <c r="O258" i="143"/>
  <c r="F260" i="143"/>
  <c r="E260" i="143"/>
  <c r="I260" i="143"/>
  <c r="J260" i="143"/>
  <c r="H260" i="143"/>
  <c r="D261" i="143"/>
  <c r="G260" i="143"/>
  <c r="K29" i="251" l="1"/>
  <c r="K32" i="251"/>
  <c r="AB258" i="143"/>
  <c r="AC258" i="143" s="1"/>
  <c r="Y259" i="143"/>
  <c r="AA259" i="143"/>
  <c r="Z259" i="143"/>
  <c r="E261" i="143"/>
  <c r="H261" i="143"/>
  <c r="I261" i="143"/>
  <c r="G261" i="143"/>
  <c r="F261" i="143"/>
  <c r="J261" i="143"/>
  <c r="D262" i="143"/>
  <c r="O259" i="143"/>
  <c r="P259" i="143"/>
  <c r="R259" i="143" s="1"/>
  <c r="X259" i="143"/>
  <c r="N260" i="143"/>
  <c r="K260" i="143" a="1"/>
  <c r="K260" i="143" s="1"/>
  <c r="L21" i="251" s="1" a="1"/>
  <c r="L21" i="251" s="1"/>
  <c r="Q260" i="143" a="1"/>
  <c r="Q260" i="143" s="1"/>
  <c r="L32" i="251" l="1"/>
  <c r="L29" i="251"/>
  <c r="AB259" i="143"/>
  <c r="AC259" i="143" s="1"/>
  <c r="Y260" i="143"/>
  <c r="Z260" i="143"/>
  <c r="AA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M21" i="251" s="1" a="1"/>
  <c r="M21" i="251" s="1"/>
  <c r="Q261" i="143" a="1"/>
  <c r="Q261" i="143" s="1"/>
  <c r="N261" i="143"/>
  <c r="X260" i="143"/>
  <c r="M29" i="251" l="1"/>
  <c r="M32" i="251"/>
  <c r="AB260" i="143"/>
  <c r="AC260" i="143" s="1"/>
  <c r="Y261" i="143"/>
  <c r="Z261" i="143"/>
  <c r="P261" i="143"/>
  <c r="R261" i="143" s="1"/>
  <c r="O261" i="143"/>
  <c r="X261" i="143"/>
  <c r="AA261" i="143" s="1"/>
  <c r="Q262" i="143" a="1"/>
  <c r="Q262" i="143" s="1"/>
  <c r="N262" i="143"/>
  <c r="K262" i="143" a="1"/>
  <c r="K262" i="143" s="1"/>
  <c r="N21" i="251" s="1" a="1"/>
  <c r="N21" i="251" s="1"/>
  <c r="I263" i="143"/>
  <c r="J263" i="143"/>
  <c r="G263" i="143"/>
  <c r="H263" i="143"/>
  <c r="D264" i="143"/>
  <c r="F263" i="143"/>
  <c r="E263" i="143"/>
  <c r="N29" i="251" l="1"/>
  <c r="N32" i="251"/>
  <c r="AB261" i="143"/>
  <c r="AC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O21" i="251" s="1" a="1"/>
  <c r="O21" i="251" s="1"/>
  <c r="Y262" i="143"/>
  <c r="X262" i="143"/>
  <c r="Z262" i="143"/>
  <c r="O29" i="251" l="1"/>
  <c r="O32" i="251"/>
  <c r="Y263" i="143"/>
  <c r="X263" i="143"/>
  <c r="Z263" i="143"/>
  <c r="O263" i="143"/>
  <c r="P263" i="143"/>
  <c r="R263" i="143" s="1"/>
  <c r="AA262" i="143"/>
  <c r="AB262" i="143" s="1"/>
  <c r="AC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AA263" i="143"/>
  <c r="AB263" i="143" l="1"/>
  <c r="AC263" i="143" s="1"/>
  <c r="AA264" i="143"/>
  <c r="Y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Q21" i="251" s="1" a="1"/>
  <c r="Q21" i="251" s="1"/>
  <c r="Z264" i="143"/>
  <c r="O264" i="143"/>
  <c r="P264" i="143"/>
  <c r="R264" i="143" s="1"/>
  <c r="X264" i="143"/>
  <c r="Q32" i="251" l="1"/>
  <c r="Q29" i="251"/>
  <c r="Y265" i="143"/>
  <c r="Z265" i="143"/>
  <c r="X265" i="143"/>
  <c r="AA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R21" i="251" s="1" a="1"/>
  <c r="R21" i="251" s="1"/>
  <c r="AB264" i="143"/>
  <c r="AC264" i="143" s="1"/>
  <c r="R29" i="251" l="1"/>
  <c r="R32" i="251"/>
  <c r="AB265" i="143"/>
  <c r="AC265" i="143" s="1"/>
  <c r="Y266" i="143"/>
  <c r="P266" i="143"/>
  <c r="R266" i="143" s="1"/>
  <c r="O266" i="143"/>
  <c r="I268" i="143"/>
  <c r="E268" i="143"/>
  <c r="F268" i="143"/>
  <c r="G268" i="143"/>
  <c r="J268" i="143"/>
  <c r="D269" i="143"/>
  <c r="H268" i="143"/>
  <c r="Z266" i="143"/>
  <c r="X266" i="143"/>
  <c r="N267" i="143"/>
  <c r="Q267" i="143" a="1"/>
  <c r="Q267" i="143" s="1"/>
  <c r="K267" i="143" a="1"/>
  <c r="K267" i="143" s="1"/>
  <c r="S21" i="251" s="1" a="1"/>
  <c r="S21" i="251" s="1"/>
  <c r="AA266" i="143"/>
  <c r="S29" i="251" l="1"/>
  <c r="S32" i="251"/>
  <c r="AA267" i="143"/>
  <c r="X267" i="143"/>
  <c r="AB266" i="143"/>
  <c r="AC266" i="143" s="1"/>
  <c r="Z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T21" i="251" s="1" a="1"/>
  <c r="T21" i="251" s="1"/>
  <c r="Y267" i="143"/>
  <c r="T32" i="251" l="1"/>
  <c r="T29" i="251"/>
  <c r="Y268" i="143"/>
  <c r="AB267" i="143"/>
  <c r="AC267" i="143" s="1"/>
  <c r="X268" i="143"/>
  <c r="AA268" i="143" s="1"/>
  <c r="P268" i="143"/>
  <c r="R268" i="143" s="1"/>
  <c r="O268" i="143"/>
  <c r="N269" i="143"/>
  <c r="K269" i="143" a="1"/>
  <c r="K269" i="143" s="1"/>
  <c r="Q269" i="143" a="1"/>
  <c r="Q269" i="143" s="1"/>
  <c r="J270" i="143"/>
  <c r="F270" i="143"/>
  <c r="I270" i="143"/>
  <c r="G270" i="143"/>
  <c r="E270" i="143"/>
  <c r="D271" i="143"/>
  <c r="H270" i="143"/>
  <c r="Z268" i="143"/>
  <c r="Y269" i="143" l="1"/>
  <c r="AB268" i="143"/>
  <c r="AC268" i="143" s="1"/>
  <c r="Z269" i="143"/>
  <c r="X269" i="143"/>
  <c r="AA269" i="143" s="1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Q270" i="143" a="1"/>
  <c r="Q270" i="143" s="1"/>
  <c r="N270" i="143"/>
  <c r="AB269" i="143" l="1"/>
  <c r="AC269" i="143" s="1"/>
  <c r="Z270" i="143"/>
  <c r="P270" i="143"/>
  <c r="R270" i="143" s="1"/>
  <c r="O270" i="143"/>
  <c r="X270" i="143"/>
  <c r="AA270" i="143" s="1"/>
  <c r="Y270" i="143"/>
  <c r="N271" i="143"/>
  <c r="Q271" i="143" a="1"/>
  <c r="Q271" i="143" s="1"/>
  <c r="K271" i="143" a="1"/>
  <c r="K271" i="143" s="1"/>
  <c r="W21" i="251" s="1" a="1"/>
  <c r="W21" i="251" s="1"/>
  <c r="G272" i="143"/>
  <c r="F272" i="143"/>
  <c r="E272" i="143"/>
  <c r="J272" i="143"/>
  <c r="D273" i="143"/>
  <c r="I272" i="143"/>
  <c r="H272" i="143"/>
  <c r="W29" i="251" l="1"/>
  <c r="W32" i="251"/>
  <c r="Z271" i="143"/>
  <c r="AB270" i="143"/>
  <c r="AC270" i="143" s="1"/>
  <c r="X271" i="143"/>
  <c r="AA271" i="143" s="1"/>
  <c r="O271" i="143"/>
  <c r="P271" i="143"/>
  <c r="R271" i="143" s="1"/>
  <c r="Y271" i="143" s="1"/>
  <c r="K272" i="143" a="1"/>
  <c r="K272" i="143" s="1"/>
  <c r="X21" i="251" s="1" a="1"/>
  <c r="X21" i="251" s="1"/>
  <c r="N272" i="143"/>
  <c r="Q272" i="143" a="1"/>
  <c r="Q272" i="143" s="1"/>
  <c r="D274" i="143"/>
  <c r="J273" i="143"/>
  <c r="F273" i="143"/>
  <c r="I273" i="143"/>
  <c r="H273" i="143"/>
  <c r="E273" i="143"/>
  <c r="G273" i="143"/>
  <c r="X29" i="251" l="1"/>
  <c r="X32" i="251"/>
  <c r="AB271" i="143"/>
  <c r="AC271" i="143" s="1"/>
  <c r="Z272" i="143"/>
  <c r="Q273" i="143" a="1"/>
  <c r="Q273" i="143" s="1"/>
  <c r="N273" i="143"/>
  <c r="K273" i="143" a="1"/>
  <c r="K273" i="143" s="1"/>
  <c r="Y21" i="251" s="1" a="1"/>
  <c r="Y21" i="251" s="1"/>
  <c r="P272" i="143"/>
  <c r="R272" i="143" s="1"/>
  <c r="Y272" i="143" s="1"/>
  <c r="O272" i="143"/>
  <c r="X272" i="143"/>
  <c r="AA272" i="143" s="1"/>
  <c r="E274" i="143"/>
  <c r="J274" i="143"/>
  <c r="F274" i="143"/>
  <c r="I274" i="143"/>
  <c r="D275" i="143"/>
  <c r="G274" i="143"/>
  <c r="H274" i="143"/>
  <c r="Y29" i="251" l="1"/>
  <c r="Y32" i="251"/>
  <c r="AB272" i="143"/>
  <c r="AC272" i="143" s="1"/>
  <c r="Y273" i="143"/>
  <c r="AA273" i="143"/>
  <c r="X273" i="143"/>
  <c r="J275" i="143"/>
  <c r="H275" i="143"/>
  <c r="D276" i="143"/>
  <c r="F275" i="143"/>
  <c r="I275" i="143"/>
  <c r="E275" i="143"/>
  <c r="G275" i="143"/>
  <c r="O273" i="143"/>
  <c r="P273" i="143"/>
  <c r="R273" i="143" s="1"/>
  <c r="Z273" i="143"/>
  <c r="K274" i="143" a="1"/>
  <c r="K274" i="143" s="1"/>
  <c r="Z21" i="251" s="1" a="1"/>
  <c r="Z21" i="251" s="1"/>
  <c r="Q274" i="143" a="1"/>
  <c r="Q274" i="143" s="1"/>
  <c r="N274" i="143"/>
  <c r="Z32" i="251" l="1"/>
  <c r="Z29" i="251"/>
  <c r="Y274" i="143"/>
  <c r="AA274" i="143"/>
  <c r="AB273" i="143"/>
  <c r="AC273" i="143" s="1"/>
  <c r="X274" i="143"/>
  <c r="Z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AA21" i="251" s="1" a="1"/>
  <c r="AA21" i="251" s="1"/>
  <c r="Q275" i="143" a="1"/>
  <c r="Q275" i="143" s="1"/>
  <c r="N275" i="143"/>
  <c r="AA32" i="251" l="1"/>
  <c r="AA29" i="251"/>
  <c r="AB274" i="143"/>
  <c r="AC274" i="143" s="1"/>
  <c r="X275" i="143"/>
  <c r="AA275" i="143" s="1"/>
  <c r="Z275" i="143"/>
  <c r="Y275" i="143"/>
  <c r="K276" i="143" a="1"/>
  <c r="K276" i="143" s="1"/>
  <c r="AB21" i="251" s="1" a="1"/>
  <c r="AB21" i="251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AB29" i="251" l="1"/>
  <c r="AB32" i="251"/>
  <c r="Y276" i="143"/>
  <c r="AB275" i="143"/>
  <c r="AC275" i="143" s="1"/>
  <c r="Z276" i="143"/>
  <c r="X276" i="143"/>
  <c r="AA276" i="143" s="1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O276" i="143"/>
  <c r="P276" i="143"/>
  <c r="R276" i="143" s="1"/>
  <c r="AB276" i="143" l="1"/>
  <c r="AC276" i="143" s="1"/>
  <c r="N278" i="143"/>
  <c r="K278" i="143" a="1"/>
  <c r="K278" i="143" s="1"/>
  <c r="AD21" i="251" s="1" a="1"/>
  <c r="AD21" i="251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AA277" i="143"/>
  <c r="Y277" i="143"/>
  <c r="X277" i="143"/>
  <c r="Z277" i="143"/>
  <c r="AD29" i="251" l="1"/>
  <c r="AD32" i="251"/>
  <c r="Y278" i="143"/>
  <c r="AB277" i="143"/>
  <c r="AC277" i="143" s="1"/>
  <c r="AA278" i="143"/>
  <c r="Z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AE21" i="251" s="1" a="1"/>
  <c r="AE21" i="251" s="1"/>
  <c r="O278" i="143"/>
  <c r="P278" i="143"/>
  <c r="R278" i="143" s="1"/>
  <c r="X278" i="143"/>
  <c r="AE32" i="251" l="1"/>
  <c r="AE29" i="251"/>
  <c r="AB278" i="143"/>
  <c r="AC278" i="143" s="1"/>
  <c r="AA279" i="143"/>
  <c r="Y279" i="143"/>
  <c r="P279" i="143"/>
  <c r="R279" i="143" s="1"/>
  <c r="O279" i="143"/>
  <c r="J281" i="143"/>
  <c r="D282" i="143"/>
  <c r="G281" i="143"/>
  <c r="E281" i="143"/>
  <c r="F281" i="143"/>
  <c r="H281" i="143"/>
  <c r="I281" i="143"/>
  <c r="Z279" i="143"/>
  <c r="N280" i="143"/>
  <c r="Q280" i="143" a="1"/>
  <c r="Q280" i="143" s="1"/>
  <c r="K280" i="143" a="1"/>
  <c r="K280" i="143" s="1"/>
  <c r="AF21" i="251" s="1" a="1"/>
  <c r="AF21" i="251" s="1"/>
  <c r="X279" i="143"/>
  <c r="AF29" i="251" l="1"/>
  <c r="AF32" i="251"/>
  <c r="AA280" i="143"/>
  <c r="X280" i="143"/>
  <c r="O280" i="143"/>
  <c r="P280" i="143"/>
  <c r="R280" i="143" s="1"/>
  <c r="E282" i="143"/>
  <c r="F282" i="143"/>
  <c r="I282" i="143"/>
  <c r="G282" i="143"/>
  <c r="J282" i="143"/>
  <c r="H282" i="143"/>
  <c r="D283" i="143"/>
  <c r="Z280" i="143"/>
  <c r="K281" i="143" a="1"/>
  <c r="K281" i="143" s="1"/>
  <c r="AG21" i="251" s="1" a="1"/>
  <c r="AG21" i="251" s="1"/>
  <c r="Q281" i="143" a="1"/>
  <c r="Q281" i="143" s="1"/>
  <c r="N281" i="143"/>
  <c r="Y280" i="143"/>
  <c r="AB279" i="143"/>
  <c r="AC279" i="143" s="1"/>
  <c r="AG29" i="251" l="1"/>
  <c r="AG32" i="251"/>
  <c r="Y281" i="143"/>
  <c r="X281" i="143"/>
  <c r="AA281" i="143"/>
  <c r="Z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N282" i="143"/>
  <c r="Q282" i="143" a="1"/>
  <c r="Q282" i="143" s="1"/>
  <c r="AB280" i="143"/>
  <c r="AC280" i="143" s="1"/>
  <c r="Y282" i="143" l="1"/>
  <c r="AB281" i="143"/>
  <c r="AC281" i="143" s="1"/>
  <c r="Z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AI21" i="251" s="1" a="1"/>
  <c r="AI21" i="251" s="1"/>
  <c r="N283" i="143"/>
  <c r="Q283" i="143" a="1"/>
  <c r="Q283" i="143" s="1"/>
  <c r="X282" i="143"/>
  <c r="AA282" i="143" s="1"/>
  <c r="AI29" i="251" l="1"/>
  <c r="AI32" i="251"/>
  <c r="AB282" i="143"/>
  <c r="AC282" i="143" s="1"/>
  <c r="X283" i="143"/>
  <c r="AA283" i="143" s="1"/>
  <c r="Z283" i="143"/>
  <c r="P283" i="143"/>
  <c r="R283" i="143" s="1"/>
  <c r="Y283" i="143" s="1"/>
  <c r="O283" i="143"/>
  <c r="K284" i="143" a="1"/>
  <c r="K284" i="143" s="1"/>
  <c r="F21" i="250" s="1" a="1"/>
  <c r="F21" i="250" s="1"/>
  <c r="Q284" i="143" a="1"/>
  <c r="Q284" i="143" s="1"/>
  <c r="N284" i="143"/>
  <c r="G285" i="143"/>
  <c r="I285" i="143"/>
  <c r="H285" i="143"/>
  <c r="D286" i="143"/>
  <c r="E285" i="143"/>
  <c r="J285" i="143"/>
  <c r="F285" i="143"/>
  <c r="F32" i="250" l="1"/>
  <c r="F29" i="250"/>
  <c r="Z284" i="143"/>
  <c r="AA284" i="143"/>
  <c r="F286" i="143"/>
  <c r="I286" i="143"/>
  <c r="E286" i="143"/>
  <c r="J286" i="143"/>
  <c r="G286" i="143"/>
  <c r="H286" i="143"/>
  <c r="D287" i="143"/>
  <c r="Y284" i="143"/>
  <c r="N285" i="143"/>
  <c r="K285" i="143" a="1"/>
  <c r="K285" i="143" s="1"/>
  <c r="G21" i="250" s="1" a="1"/>
  <c r="G21" i="250" s="1"/>
  <c r="Q285" i="143" a="1"/>
  <c r="Q285" i="143" s="1"/>
  <c r="X284" i="143"/>
  <c r="AB283" i="143"/>
  <c r="AC283" i="143" s="1"/>
  <c r="O284" i="143"/>
  <c r="P284" i="143"/>
  <c r="R284" i="143" s="1"/>
  <c r="G29" i="250" l="1"/>
  <c r="G32" i="250"/>
  <c r="Y285" i="143"/>
  <c r="AB284" i="143"/>
  <c r="AC284" i="143" s="1"/>
  <c r="AA285" i="143"/>
  <c r="X285" i="143"/>
  <c r="P285" i="143"/>
  <c r="R285" i="143" s="1"/>
  <c r="O285" i="143"/>
  <c r="Z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H21" i="250" s="1" a="1"/>
  <c r="H21" i="250" s="1"/>
  <c r="N286" i="143"/>
  <c r="H29" i="250" l="1"/>
  <c r="H32" i="250"/>
  <c r="Y286" i="143"/>
  <c r="AB285" i="143"/>
  <c r="AC285" i="143" s="1"/>
  <c r="X286" i="143"/>
  <c r="Z286" i="143"/>
  <c r="H288" i="143"/>
  <c r="G288" i="143"/>
  <c r="D289" i="143"/>
  <c r="E288" i="143"/>
  <c r="I288" i="143"/>
  <c r="F288" i="143"/>
  <c r="J288" i="143"/>
  <c r="K287" i="143" a="1"/>
  <c r="K287" i="143" s="1"/>
  <c r="I21" i="250" s="1" a="1"/>
  <c r="I21" i="250" s="1"/>
  <c r="N287" i="143"/>
  <c r="Q287" i="143" a="1"/>
  <c r="Q287" i="143" s="1"/>
  <c r="AA286" i="143"/>
  <c r="O286" i="143"/>
  <c r="P286" i="143"/>
  <c r="R286" i="143" s="1"/>
  <c r="I29" i="250" l="1"/>
  <c r="I32" i="250"/>
  <c r="Y287" i="143"/>
  <c r="Z287" i="143"/>
  <c r="AB286" i="143"/>
  <c r="AC286" i="143" s="1"/>
  <c r="X287" i="143"/>
  <c r="AA287" i="143"/>
  <c r="O287" i="143"/>
  <c r="P287" i="143"/>
  <c r="R287" i="143" s="1"/>
  <c r="Q288" i="143" a="1"/>
  <c r="Q288" i="143" s="1"/>
  <c r="K288" i="143" a="1"/>
  <c r="K288" i="143" s="1"/>
  <c r="J21" i="250" s="1" a="1"/>
  <c r="J21" i="250" s="1"/>
  <c r="N288" i="143"/>
  <c r="E289" i="143"/>
  <c r="J289" i="143"/>
  <c r="F289" i="143"/>
  <c r="D290" i="143"/>
  <c r="G289" i="143"/>
  <c r="I289" i="143"/>
  <c r="H289" i="143"/>
  <c r="J29" i="250" l="1"/>
  <c r="J32" i="250"/>
  <c r="Y288" i="143"/>
  <c r="AB287" i="143"/>
  <c r="AC287" i="143" s="1"/>
  <c r="AA288" i="143"/>
  <c r="X288" i="143"/>
  <c r="Z288" i="143"/>
  <c r="K289" i="143" a="1"/>
  <c r="K289" i="143" s="1"/>
  <c r="K21" i="250" s="1" a="1"/>
  <c r="K21" i="250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K32" i="250" l="1"/>
  <c r="K29" i="250"/>
  <c r="Y289" i="143"/>
  <c r="AB288" i="143"/>
  <c r="AC288" i="143" s="1"/>
  <c r="X289" i="143"/>
  <c r="AA289" i="143" s="1"/>
  <c r="Z289" i="143"/>
  <c r="K290" i="143" a="1"/>
  <c r="K290" i="143" s="1"/>
  <c r="L21" i="250" s="1" a="1"/>
  <c r="L21" i="250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L29" i="250" l="1"/>
  <c r="L32" i="250"/>
  <c r="Y290" i="143"/>
  <c r="AB289" i="143"/>
  <c r="AC289" i="143" s="1"/>
  <c r="X290" i="143"/>
  <c r="AA290" i="143" s="1"/>
  <c r="Z290" i="143"/>
  <c r="N291" i="143"/>
  <c r="K291" i="143" a="1"/>
  <c r="K291" i="143" s="1"/>
  <c r="M21" i="250" s="1" a="1"/>
  <c r="M21" i="250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M29" i="250" l="1"/>
  <c r="M32" i="250"/>
  <c r="Y291" i="143"/>
  <c r="AB290" i="143"/>
  <c r="AC290" i="143" s="1"/>
  <c r="Q292" i="143" a="1"/>
  <c r="Q292" i="143" s="1"/>
  <c r="K292" i="143" a="1"/>
  <c r="K292" i="143" s="1"/>
  <c r="N21" i="250" s="1" a="1"/>
  <c r="N21" i="250" s="1"/>
  <c r="N292" i="143"/>
  <c r="E293" i="143"/>
  <c r="I293" i="143"/>
  <c r="D294" i="143"/>
  <c r="J293" i="143"/>
  <c r="F293" i="143"/>
  <c r="G293" i="143"/>
  <c r="H293" i="143"/>
  <c r="X291" i="143"/>
  <c r="AA291" i="143"/>
  <c r="Z291" i="143"/>
  <c r="O291" i="143"/>
  <c r="P291" i="143"/>
  <c r="R291" i="143" s="1"/>
  <c r="N29" i="250" l="1"/>
  <c r="N32" i="250"/>
  <c r="Y292" i="143"/>
  <c r="AA292" i="143"/>
  <c r="X292" i="143"/>
  <c r="AB291" i="143"/>
  <c r="AC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O21" i="250" s="1" a="1"/>
  <c r="O21" i="250" s="1"/>
  <c r="N293" i="143"/>
  <c r="Z292" i="143"/>
  <c r="O292" i="143"/>
  <c r="P292" i="143"/>
  <c r="R292" i="143" s="1"/>
  <c r="O29" i="250" l="1"/>
  <c r="O32" i="250"/>
  <c r="Y293" i="143"/>
  <c r="AB292" i="143"/>
  <c r="AC292" i="143" s="1"/>
  <c r="Z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N294" i="143"/>
  <c r="O293" i="143"/>
  <c r="P293" i="143"/>
  <c r="R293" i="143" s="1"/>
  <c r="X293" i="143"/>
  <c r="AA293" i="143"/>
  <c r="Y294" i="143" l="1"/>
  <c r="Z294" i="143"/>
  <c r="AB293" i="143"/>
  <c r="AC293" i="143" s="1"/>
  <c r="K295" i="143" a="1"/>
  <c r="K295" i="143" s="1"/>
  <c r="Q21" i="250" s="1" a="1"/>
  <c r="Q21" i="250" s="1"/>
  <c r="Q295" i="143" a="1"/>
  <c r="Q295" i="143" s="1"/>
  <c r="N295" i="143"/>
  <c r="AA294" i="143"/>
  <c r="O294" i="143"/>
  <c r="P294" i="143"/>
  <c r="R294" i="143" s="1"/>
  <c r="E296" i="143"/>
  <c r="F296" i="143"/>
  <c r="H296" i="143"/>
  <c r="D297" i="143"/>
  <c r="G296" i="143"/>
  <c r="J296" i="143"/>
  <c r="I296" i="143"/>
  <c r="X294" i="143"/>
  <c r="Q32" i="250" l="1"/>
  <c r="Q29" i="250"/>
  <c r="AB294" i="143"/>
  <c r="AC294" i="143" s="1"/>
  <c r="AA295" i="143"/>
  <c r="Z295" i="143"/>
  <c r="Q296" i="143" a="1"/>
  <c r="Q296" i="143" s="1"/>
  <c r="N296" i="143"/>
  <c r="K296" i="143" a="1"/>
  <c r="K296" i="143" s="1"/>
  <c r="R21" i="250" s="1" a="1"/>
  <c r="R21" i="250" s="1"/>
  <c r="I297" i="143"/>
  <c r="G297" i="143"/>
  <c r="F297" i="143"/>
  <c r="E297" i="143"/>
  <c r="H297" i="143"/>
  <c r="D298" i="143"/>
  <c r="J297" i="143"/>
  <c r="P295" i="143"/>
  <c r="R295" i="143" s="1"/>
  <c r="O295" i="143"/>
  <c r="X295" i="143"/>
  <c r="Y295" i="143"/>
  <c r="R32" i="250" l="1"/>
  <c r="R29" i="250"/>
  <c r="Y296" i="143"/>
  <c r="AB295" i="143"/>
  <c r="AC295" i="143" s="1"/>
  <c r="N297" i="143"/>
  <c r="K297" i="143" a="1"/>
  <c r="K297" i="143" s="1"/>
  <c r="S21" i="250" s="1" a="1"/>
  <c r="S21" i="250" s="1"/>
  <c r="Q297" i="143" a="1"/>
  <c r="Q297" i="143" s="1"/>
  <c r="Z296" i="143"/>
  <c r="P296" i="143"/>
  <c r="R296" i="143" s="1"/>
  <c r="O296" i="143"/>
  <c r="X296" i="143"/>
  <c r="AA296" i="143" s="1"/>
  <c r="E298" i="143"/>
  <c r="G298" i="143"/>
  <c r="J298" i="143"/>
  <c r="I298" i="143"/>
  <c r="F298" i="143"/>
  <c r="H298" i="143"/>
  <c r="D299" i="143"/>
  <c r="S29" i="250" l="1"/>
  <c r="S32" i="250"/>
  <c r="Y297" i="143"/>
  <c r="D300" i="143"/>
  <c r="H299" i="143"/>
  <c r="F299" i="143"/>
  <c r="G299" i="143"/>
  <c r="E299" i="143"/>
  <c r="J299" i="143"/>
  <c r="I299" i="143"/>
  <c r="AB296" i="143"/>
  <c r="AC296" i="143" s="1"/>
  <c r="Z297" i="143"/>
  <c r="X297" i="143"/>
  <c r="AA297" i="143" s="1"/>
  <c r="N298" i="143"/>
  <c r="K298" i="143" a="1"/>
  <c r="K298" i="143" s="1"/>
  <c r="T21" i="250" s="1" a="1"/>
  <c r="T21" i="250" s="1"/>
  <c r="Q298" i="143" a="1"/>
  <c r="Q298" i="143" s="1"/>
  <c r="O297" i="143"/>
  <c r="P297" i="143"/>
  <c r="R297" i="143" s="1"/>
  <c r="T32" i="250" l="1"/>
  <c r="T29" i="250"/>
  <c r="Y298" i="143"/>
  <c r="AB297" i="143"/>
  <c r="AC297" i="143" s="1"/>
  <c r="AA298" i="143"/>
  <c r="X298" i="143"/>
  <c r="O298" i="143"/>
  <c r="P298" i="143"/>
  <c r="R298" i="143" s="1"/>
  <c r="Z298" i="143"/>
  <c r="N299" i="143"/>
  <c r="K299" i="143" a="1"/>
  <c r="K299" i="143" s="1"/>
  <c r="U21" i="250" s="1" a="1"/>
  <c r="U21" i="250" s="1"/>
  <c r="Q299" i="143" a="1"/>
  <c r="Q299" i="143" s="1"/>
  <c r="G300" i="143"/>
  <c r="E300" i="143"/>
  <c r="J300" i="143"/>
  <c r="I300" i="143"/>
  <c r="F300" i="143"/>
  <c r="H300" i="143"/>
  <c r="D301" i="143"/>
  <c r="U29" i="250" l="1"/>
  <c r="U32" i="250"/>
  <c r="X299" i="143"/>
  <c r="AB298" i="143"/>
  <c r="AC298" i="143" s="1"/>
  <c r="AA299" i="143"/>
  <c r="Z299" i="143"/>
  <c r="Y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V21" i="250" s="1" a="1"/>
  <c r="V21" i="250" s="1"/>
  <c r="V32" i="250" l="1"/>
  <c r="V29" i="250"/>
  <c r="AB299" i="143"/>
  <c r="AC299" i="143" s="1"/>
  <c r="Z300" i="143"/>
  <c r="X300" i="143"/>
  <c r="AA300" i="143" s="1"/>
  <c r="I302" i="143"/>
  <c r="J302" i="143"/>
  <c r="G302" i="143"/>
  <c r="F302" i="143"/>
  <c r="E302" i="143"/>
  <c r="H302" i="143"/>
  <c r="D303" i="143"/>
  <c r="N301" i="143"/>
  <c r="K301" i="143" a="1"/>
  <c r="K301" i="143" s="1"/>
  <c r="Q301" i="143" a="1"/>
  <c r="Q301" i="143" s="1"/>
  <c r="P300" i="143"/>
  <c r="R300" i="143" s="1"/>
  <c r="Y300" i="143" s="1"/>
  <c r="O300" i="143"/>
  <c r="Z301" i="143" l="1"/>
  <c r="AB300" i="143"/>
  <c r="AC300" i="143" s="1"/>
  <c r="X301" i="143"/>
  <c r="O301" i="143"/>
  <c r="P301" i="143"/>
  <c r="R301" i="143" s="1"/>
  <c r="Y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X21" i="250" s="1" a="1"/>
  <c r="X21" i="250" s="1"/>
  <c r="Q302" i="143" a="1"/>
  <c r="Q302" i="143" s="1"/>
  <c r="AA301" i="143"/>
  <c r="X32" i="250" l="1"/>
  <c r="X29" i="250"/>
  <c r="AB301" i="143"/>
  <c r="AC301" i="143" s="1"/>
  <c r="X302" i="143"/>
  <c r="O302" i="143"/>
  <c r="P302" i="143"/>
  <c r="R302" i="143" s="1"/>
  <c r="Q303" i="143" a="1"/>
  <c r="Q303" i="143" s="1"/>
  <c r="N303" i="143"/>
  <c r="K303" i="143" a="1"/>
  <c r="K303" i="143" s="1"/>
  <c r="Y21" i="250" s="1" a="1"/>
  <c r="Y21" i="250" s="1"/>
  <c r="I304" i="143"/>
  <c r="J304" i="143"/>
  <c r="H304" i="143"/>
  <c r="F304" i="143"/>
  <c r="G304" i="143"/>
  <c r="D305" i="143"/>
  <c r="E304" i="143"/>
  <c r="Y302" i="143"/>
  <c r="AA302" i="143"/>
  <c r="Z302" i="143"/>
  <c r="Y32" i="250" l="1"/>
  <c r="Y29" i="250"/>
  <c r="Y303" i="143"/>
  <c r="J305" i="143"/>
  <c r="G305" i="143"/>
  <c r="D306" i="143"/>
  <c r="E305" i="143"/>
  <c r="F305" i="143"/>
  <c r="I305" i="143"/>
  <c r="H305" i="143"/>
  <c r="X303" i="143"/>
  <c r="AA303" i="143" s="1"/>
  <c r="O303" i="143"/>
  <c r="P303" i="143"/>
  <c r="R303" i="143" s="1"/>
  <c r="K304" i="143" a="1"/>
  <c r="K304" i="143" s="1"/>
  <c r="Z21" i="250" s="1" a="1"/>
  <c r="Z21" i="250" s="1"/>
  <c r="Q304" i="143" a="1"/>
  <c r="Q304" i="143" s="1"/>
  <c r="N304" i="143"/>
  <c r="Z303" i="143"/>
  <c r="AB302" i="143"/>
  <c r="AC302" i="143" s="1"/>
  <c r="Z32" i="250" l="1"/>
  <c r="Z29" i="250"/>
  <c r="Y304" i="143"/>
  <c r="Z304" i="143"/>
  <c r="X304" i="143"/>
  <c r="AA304" i="143" s="1"/>
  <c r="K305" i="143" a="1"/>
  <c r="K305" i="14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B303" i="143"/>
  <c r="AC303" i="143" s="1"/>
  <c r="Y305" i="143" l="1"/>
  <c r="AA305" i="143"/>
  <c r="AB304" i="143"/>
  <c r="AC304" i="143" s="1"/>
  <c r="Z305" i="143"/>
  <c r="X305" i="143"/>
  <c r="K306" i="143" a="1"/>
  <c r="K306" i="143" s="1"/>
  <c r="AB21" i="250" s="1" a="1"/>
  <c r="AB21" i="250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B29" i="250" l="1"/>
  <c r="AB32" i="250"/>
  <c r="Y306" i="143"/>
  <c r="AB305" i="143"/>
  <c r="AC305" i="143" s="1"/>
  <c r="AA306" i="143"/>
  <c r="X306" i="143"/>
  <c r="Z306" i="143"/>
  <c r="N307" i="143"/>
  <c r="K307" i="143" a="1"/>
  <c r="K307" i="143" s="1"/>
  <c r="AC21" i="250" s="1" a="1"/>
  <c r="AC21" i="250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C32" i="250" l="1"/>
  <c r="AC29" i="250"/>
  <c r="Y307" i="143"/>
  <c r="AB306" i="143"/>
  <c r="AC306" i="143" s="1"/>
  <c r="AA307" i="143"/>
  <c r="Q308" i="143" a="1"/>
  <c r="Q308" i="143" s="1"/>
  <c r="K308" i="143" a="1"/>
  <c r="K308" i="143" s="1"/>
  <c r="AD21" i="250" s="1" a="1"/>
  <c r="AD21" i="250" s="1"/>
  <c r="N308" i="143"/>
  <c r="P307" i="143"/>
  <c r="R307" i="143" s="1"/>
  <c r="O307" i="143"/>
  <c r="Z307" i="143"/>
  <c r="F309" i="143"/>
  <c r="I309" i="143"/>
  <c r="G309" i="143"/>
  <c r="E309" i="143"/>
  <c r="H309" i="143"/>
  <c r="D310" i="143"/>
  <c r="J309" i="143"/>
  <c r="X307" i="143"/>
  <c r="AD29" i="250" l="1"/>
  <c r="AD32" i="250"/>
  <c r="Y308" i="143"/>
  <c r="AB307" i="143"/>
  <c r="AC307" i="143" s="1"/>
  <c r="Z308" i="143"/>
  <c r="J310" i="143"/>
  <c r="I310" i="143"/>
  <c r="D311" i="143"/>
  <c r="H310" i="143"/>
  <c r="E310" i="143"/>
  <c r="F310" i="143"/>
  <c r="G310" i="143"/>
  <c r="AA308" i="143"/>
  <c r="N309" i="143"/>
  <c r="Q309" i="143" a="1"/>
  <c r="Q309" i="143" s="1"/>
  <c r="K309" i="143" a="1"/>
  <c r="K309" i="143" s="1"/>
  <c r="AE21" i="250" s="1" a="1"/>
  <c r="AE21" i="250" s="1"/>
  <c r="O308" i="143"/>
  <c r="P308" i="143"/>
  <c r="R308" i="143" s="1"/>
  <c r="X308" i="143"/>
  <c r="AE29" i="250" l="1"/>
  <c r="AE32" i="250"/>
  <c r="Z309" i="143"/>
  <c r="AB308" i="143"/>
  <c r="AC308" i="143" s="1"/>
  <c r="AA309" i="143"/>
  <c r="Y309" i="143"/>
  <c r="O309" i="143"/>
  <c r="P309" i="143"/>
  <c r="R309" i="143" s="1"/>
  <c r="D312" i="143"/>
  <c r="H311" i="143"/>
  <c r="G311" i="143"/>
  <c r="J311" i="143"/>
  <c r="I311" i="143"/>
  <c r="F311" i="143"/>
  <c r="E311" i="143"/>
  <c r="X309" i="143"/>
  <c r="N310" i="143"/>
  <c r="Q310" i="143" a="1"/>
  <c r="Q310" i="143" s="1"/>
  <c r="K310" i="143" a="1"/>
  <c r="K310" i="143" s="1"/>
  <c r="Y310" i="143" l="1"/>
  <c r="AB309" i="143"/>
  <c r="AC309" i="143" s="1"/>
  <c r="X310" i="143"/>
  <c r="AA310" i="143" s="1"/>
  <c r="P310" i="143"/>
  <c r="R310" i="143" s="1"/>
  <c r="O310" i="143"/>
  <c r="N311" i="143"/>
  <c r="K311" i="143" a="1"/>
  <c r="K311" i="143" s="1"/>
  <c r="Q311" i="143" a="1"/>
  <c r="Q311" i="143" s="1"/>
  <c r="I312" i="143"/>
  <c r="H312" i="143"/>
  <c r="E312" i="143"/>
  <c r="G312" i="143"/>
  <c r="D313" i="143"/>
  <c r="J312" i="143"/>
  <c r="F312" i="143"/>
  <c r="Z310" i="143"/>
  <c r="Y311" i="143" l="1"/>
  <c r="Z311" i="143"/>
  <c r="X311" i="143"/>
  <c r="AA311" i="143" s="1"/>
  <c r="I313" i="143"/>
  <c r="F313" i="143"/>
  <c r="J313" i="143"/>
  <c r="G313" i="143"/>
  <c r="H313" i="143"/>
  <c r="E313" i="143"/>
  <c r="D314" i="143"/>
  <c r="K312" i="143" a="1"/>
  <c r="K312" i="143" s="1"/>
  <c r="AH21" i="250" s="1" a="1"/>
  <c r="AH21" i="250" s="1"/>
  <c r="N312" i="143"/>
  <c r="Q312" i="143" a="1"/>
  <c r="Q312" i="143" s="1"/>
  <c r="P311" i="143"/>
  <c r="R311" i="143" s="1"/>
  <c r="O311" i="143"/>
  <c r="AB310" i="143"/>
  <c r="AC310" i="143" s="1"/>
  <c r="AH29" i="250" l="1"/>
  <c r="AH32" i="250"/>
  <c r="AB311" i="143"/>
  <c r="AC311" i="143" s="1"/>
  <c r="X312" i="143"/>
  <c r="AA312" i="143"/>
  <c r="P312" i="143"/>
  <c r="R312" i="143" s="1"/>
  <c r="Y312" i="143" s="1"/>
  <c r="O312" i="143"/>
  <c r="Z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I21" i="250" s="1" a="1"/>
  <c r="AI21" i="250" s="1"/>
  <c r="AI29" i="250" l="1"/>
  <c r="AI32" i="250"/>
  <c r="AB312" i="143"/>
  <c r="AC312" i="143" s="1"/>
  <c r="Q314" i="143" a="1"/>
  <c r="Q314" i="143" s="1"/>
  <c r="K314" i="143" a="1"/>
  <c r="K314" i="143" s="1"/>
  <c r="AJ21" i="250" s="1" a="1"/>
  <c r="AJ21" i="250" s="1"/>
  <c r="N314" i="143"/>
  <c r="X313" i="143"/>
  <c r="AA313" i="143"/>
  <c r="P313" i="143"/>
  <c r="R313" i="143" s="1"/>
  <c r="Y313" i="143" s="1"/>
  <c r="O313" i="143"/>
  <c r="H315" i="143"/>
  <c r="D316" i="143"/>
  <c r="I315" i="143"/>
  <c r="J315" i="143"/>
  <c r="F315" i="143"/>
  <c r="G315" i="143"/>
  <c r="E315" i="143"/>
  <c r="Z313" i="143"/>
  <c r="AJ32" i="250" l="1"/>
  <c r="AJ29" i="250"/>
  <c r="AB313" i="143"/>
  <c r="AC313" i="143" s="1"/>
  <c r="AA314" i="143"/>
  <c r="K315" i="143" a="1"/>
  <c r="K315" i="143" s="1"/>
  <c r="F21" i="249" s="1" a="1"/>
  <c r="F21" i="249" s="1"/>
  <c r="Q315" i="143" a="1"/>
  <c r="Q315" i="143" s="1"/>
  <c r="N315" i="143"/>
  <c r="I316" i="143"/>
  <c r="F316" i="143"/>
  <c r="H316" i="143"/>
  <c r="G316" i="143"/>
  <c r="D317" i="143"/>
  <c r="E316" i="143"/>
  <c r="J316" i="143"/>
  <c r="Z314" i="143"/>
  <c r="O314" i="143"/>
  <c r="P314" i="143"/>
  <c r="R314" i="143" s="1"/>
  <c r="Y314" i="143" s="1"/>
  <c r="X314" i="143"/>
  <c r="F32" i="249" l="1"/>
  <c r="F29" i="249"/>
  <c r="Y315" i="143"/>
  <c r="AB314" i="143"/>
  <c r="AC314" i="143" s="1"/>
  <c r="X315" i="143"/>
  <c r="N316" i="143"/>
  <c r="Q316" i="143" a="1"/>
  <c r="Q316" i="143" s="1"/>
  <c r="K316" i="143" a="1"/>
  <c r="K316" i="143" s="1"/>
  <c r="G21" i="249" s="1" a="1"/>
  <c r="G21" i="249" s="1"/>
  <c r="AA315" i="143"/>
  <c r="F317" i="143"/>
  <c r="E317" i="143"/>
  <c r="G317" i="143"/>
  <c r="D318" i="143"/>
  <c r="H317" i="143"/>
  <c r="J317" i="143"/>
  <c r="I317" i="143"/>
  <c r="Z315" i="143"/>
  <c r="P315" i="143"/>
  <c r="R315" i="143" s="1"/>
  <c r="O315" i="143"/>
  <c r="G29" i="249" l="1"/>
  <c r="G32" i="249"/>
  <c r="Y316" i="143"/>
  <c r="AA316" i="143"/>
  <c r="AB315" i="143"/>
  <c r="AC315" i="143" s="1"/>
  <c r="P316" i="143"/>
  <c r="R316" i="143" s="1"/>
  <c r="O316" i="143"/>
  <c r="X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H21" i="249" s="1" a="1"/>
  <c r="H21" i="249" s="1"/>
  <c r="N317" i="143"/>
  <c r="Z316" i="143"/>
  <c r="H32" i="249" l="1"/>
  <c r="H29" i="249"/>
  <c r="Z317" i="143"/>
  <c r="AB316" i="143"/>
  <c r="AC316" i="143" s="1"/>
  <c r="Y317" i="143"/>
  <c r="N318" i="143"/>
  <c r="Q318" i="143" a="1"/>
  <c r="Q318" i="143" s="1"/>
  <c r="K318" i="143" a="1"/>
  <c r="K318" i="143" s="1"/>
  <c r="I21" i="249" s="1" a="1"/>
  <c r="I21" i="249" s="1"/>
  <c r="O317" i="143"/>
  <c r="P317" i="143"/>
  <c r="R317" i="143" s="1"/>
  <c r="G319" i="143"/>
  <c r="I319" i="143"/>
  <c r="H319" i="143"/>
  <c r="F319" i="143"/>
  <c r="D320" i="143"/>
  <c r="E319" i="143"/>
  <c r="J319" i="143"/>
  <c r="X317" i="143"/>
  <c r="I29" i="249" l="1"/>
  <c r="I32" i="249"/>
  <c r="Z318" i="143"/>
  <c r="AA317" i="143"/>
  <c r="AB317" i="143" s="1"/>
  <c r="AC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Y318" i="143"/>
  <c r="X318" i="143"/>
  <c r="AA318" i="143" s="1"/>
  <c r="O318" i="143"/>
  <c r="P318" i="143"/>
  <c r="R318" i="143" s="1"/>
  <c r="Y319" i="143" l="1"/>
  <c r="AB318" i="143"/>
  <c r="AC318" i="143" s="1"/>
  <c r="Z319" i="143"/>
  <c r="K320" i="143" a="1"/>
  <c r="K320" i="143" s="1"/>
  <c r="K21" i="249" s="1" a="1"/>
  <c r="K21" i="249" s="1"/>
  <c r="N320" i="143"/>
  <c r="Q320" i="143" a="1"/>
  <c r="Q320" i="143" s="1"/>
  <c r="D322" i="143"/>
  <c r="J321" i="143"/>
  <c r="F321" i="143"/>
  <c r="E321" i="143"/>
  <c r="I321" i="143"/>
  <c r="G321" i="143"/>
  <c r="H321" i="143"/>
  <c r="AA319" i="143"/>
  <c r="P319" i="143"/>
  <c r="R319" i="143" s="1"/>
  <c r="O319" i="143"/>
  <c r="X319" i="143"/>
  <c r="K32" i="249" l="1"/>
  <c r="K29" i="249"/>
  <c r="AA320" i="143"/>
  <c r="AB319" i="143"/>
  <c r="AC319" i="143" s="1"/>
  <c r="X320" i="143"/>
  <c r="P320" i="143"/>
  <c r="R320" i="143" s="1"/>
  <c r="O320" i="143"/>
  <c r="Q321" i="143" a="1"/>
  <c r="Q321" i="143" s="1"/>
  <c r="K321" i="143" a="1"/>
  <c r="K321" i="143" s="1"/>
  <c r="L21" i="249" s="1" a="1"/>
  <c r="L21" i="249" s="1"/>
  <c r="N321" i="143"/>
  <c r="F322" i="143"/>
  <c r="G322" i="143"/>
  <c r="J322" i="143"/>
  <c r="E322" i="143"/>
  <c r="H322" i="143"/>
  <c r="D323" i="143"/>
  <c r="I322" i="143"/>
  <c r="Y320" i="143"/>
  <c r="Z320" i="143"/>
  <c r="L29" i="249" l="1"/>
  <c r="L32" i="249"/>
  <c r="Y321" i="143"/>
  <c r="X321" i="143"/>
  <c r="AB320" i="143"/>
  <c r="AC320" i="143" s="1"/>
  <c r="AA321" i="143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M21" i="249" s="1" a="1"/>
  <c r="M21" i="249" s="1"/>
  <c r="Q322" i="143" a="1"/>
  <c r="Q322" i="143" s="1"/>
  <c r="N322" i="143"/>
  <c r="Z321" i="143"/>
  <c r="M32" i="249" l="1"/>
  <c r="M29" i="249"/>
  <c r="Y322" i="143"/>
  <c r="AB321" i="143"/>
  <c r="AC321" i="143" s="1"/>
  <c r="AA322" i="143"/>
  <c r="N323" i="143"/>
  <c r="K323" i="143" a="1"/>
  <c r="K323" i="143" s="1"/>
  <c r="N21" i="249" s="1" a="1"/>
  <c r="N21" i="249" s="1"/>
  <c r="Q323" i="143" a="1"/>
  <c r="Q323" i="143" s="1"/>
  <c r="I324" i="143"/>
  <c r="E324" i="143"/>
  <c r="J324" i="143"/>
  <c r="F324" i="143"/>
  <c r="D325" i="143"/>
  <c r="H324" i="143"/>
  <c r="G324" i="143"/>
  <c r="Z322" i="143"/>
  <c r="P322" i="143"/>
  <c r="R322" i="143" s="1"/>
  <c r="O322" i="143"/>
  <c r="X322" i="143"/>
  <c r="N29" i="249" l="1"/>
  <c r="N32" i="249"/>
  <c r="Y323" i="143"/>
  <c r="AB322" i="143"/>
  <c r="AC322" i="143" s="1"/>
  <c r="X323" i="143"/>
  <c r="Z323" i="143"/>
  <c r="AA323" i="143"/>
  <c r="N324" i="143"/>
  <c r="Q324" i="143" a="1"/>
  <c r="Q324" i="143" s="1"/>
  <c r="K324" i="143" a="1"/>
  <c r="K324" i="143" s="1"/>
  <c r="O21" i="249" s="1" a="1"/>
  <c r="O21" i="249" s="1"/>
  <c r="H325" i="143"/>
  <c r="D326" i="143"/>
  <c r="I325" i="143"/>
  <c r="F325" i="143"/>
  <c r="E325" i="143"/>
  <c r="J325" i="143"/>
  <c r="G325" i="143"/>
  <c r="O323" i="143"/>
  <c r="P323" i="143"/>
  <c r="R323" i="143" s="1"/>
  <c r="O29" i="249" l="1"/>
  <c r="O32" i="249"/>
  <c r="Y324" i="143"/>
  <c r="AB323" i="143"/>
  <c r="AC323" i="143" s="1"/>
  <c r="X324" i="143"/>
  <c r="AA324" i="143" s="1"/>
  <c r="Q325" i="143" a="1"/>
  <c r="Q325" i="143" s="1"/>
  <c r="N325" i="143"/>
  <c r="K325" i="143" a="1"/>
  <c r="K325" i="143" s="1"/>
  <c r="P21" i="249" s="1" a="1"/>
  <c r="P21" i="249" s="1"/>
  <c r="F326" i="143"/>
  <c r="I326" i="143"/>
  <c r="G326" i="143"/>
  <c r="E326" i="143"/>
  <c r="J326" i="143"/>
  <c r="H326" i="143"/>
  <c r="D327" i="143"/>
  <c r="Z324" i="143"/>
  <c r="O324" i="143"/>
  <c r="P324" i="143"/>
  <c r="R324" i="143" s="1"/>
  <c r="P29" i="249" l="1"/>
  <c r="P32" i="249"/>
  <c r="Z325" i="143"/>
  <c r="Q326" i="143" a="1"/>
  <c r="Q326" i="143" s="1"/>
  <c r="N326" i="143"/>
  <c r="K326" i="143" a="1"/>
  <c r="K326" i="143" s="1"/>
  <c r="Q21" i="249" s="1" a="1"/>
  <c r="Q21" i="249" s="1"/>
  <c r="Y325" i="143"/>
  <c r="P325" i="143"/>
  <c r="R325" i="143" s="1"/>
  <c r="O325" i="143"/>
  <c r="X325" i="143"/>
  <c r="AA325" i="143" s="1"/>
  <c r="E327" i="143"/>
  <c r="J327" i="143"/>
  <c r="F327" i="143"/>
  <c r="G327" i="143"/>
  <c r="I327" i="143"/>
  <c r="D328" i="143"/>
  <c r="H327" i="143"/>
  <c r="AB324" i="143"/>
  <c r="AC324" i="143" s="1"/>
  <c r="Q29" i="249" l="1"/>
  <c r="Q32" i="249"/>
  <c r="AA326" i="143"/>
  <c r="Z326" i="143"/>
  <c r="AB325" i="143"/>
  <c r="AC325" i="143" s="1"/>
  <c r="Y326" i="143"/>
  <c r="X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R21" i="249" s="1" a="1"/>
  <c r="R21" i="249" s="1"/>
  <c r="N327" i="143"/>
  <c r="R32" i="249" l="1"/>
  <c r="R29" i="249"/>
  <c r="Y327" i="143"/>
  <c r="AB326" i="143"/>
  <c r="AC326" i="143" s="1"/>
  <c r="X327" i="143"/>
  <c r="Z327" i="143"/>
  <c r="AA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S21" i="249" s="1" a="1"/>
  <c r="S21" i="249" s="1"/>
  <c r="Q328" i="143" a="1"/>
  <c r="Q328" i="143" s="1"/>
  <c r="S29" i="249" l="1"/>
  <c r="S32" i="249"/>
  <c r="Y328" i="143"/>
  <c r="AA328" i="143"/>
  <c r="AB327" i="143"/>
  <c r="AC327" i="143" s="1"/>
  <c r="X328" i="143"/>
  <c r="Z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T21" i="249" s="1" a="1"/>
  <c r="T21" i="249" s="1"/>
  <c r="T32" i="249" l="1"/>
  <c r="T29" i="249"/>
  <c r="AB328" i="143"/>
  <c r="AC328" i="143" s="1"/>
  <c r="Z329" i="143"/>
  <c r="AA329" i="143"/>
  <c r="I331" i="143"/>
  <c r="D332" i="143"/>
  <c r="F331" i="143"/>
  <c r="J331" i="143"/>
  <c r="G331" i="143"/>
  <c r="E331" i="143"/>
  <c r="H331" i="143"/>
  <c r="P329" i="143"/>
  <c r="R329" i="143" s="1"/>
  <c r="O329" i="143"/>
  <c r="X329" i="143"/>
  <c r="N330" i="143"/>
  <c r="Q330" i="143" a="1"/>
  <c r="Q330" i="143" s="1"/>
  <c r="K330" i="143" a="1"/>
  <c r="K330" i="143" s="1"/>
  <c r="Y329" i="143"/>
  <c r="AB329" i="143" l="1"/>
  <c r="AC329" i="143" s="1"/>
  <c r="Y330" i="143"/>
  <c r="P330" i="143"/>
  <c r="R330" i="143" s="1"/>
  <c r="O330" i="143"/>
  <c r="X330" i="143"/>
  <c r="J332" i="143"/>
  <c r="I332" i="143"/>
  <c r="H332" i="143"/>
  <c r="G332" i="143"/>
  <c r="D333" i="143"/>
  <c r="F332" i="143"/>
  <c r="E332" i="143"/>
  <c r="Z330" i="143"/>
  <c r="AA330" i="143"/>
  <c r="N331" i="143"/>
  <c r="K331" i="143" a="1"/>
  <c r="K331" i="143" s="1"/>
  <c r="V21" i="249" s="1" a="1"/>
  <c r="V21" i="249" s="1"/>
  <c r="Q331" i="143" a="1"/>
  <c r="Q331" i="143" s="1"/>
  <c r="V29" i="249" l="1"/>
  <c r="V32" i="249"/>
  <c r="Y331" i="143"/>
  <c r="X331" i="143"/>
  <c r="AA331" i="143" s="1"/>
  <c r="Z331" i="143"/>
  <c r="AB330" i="143"/>
  <c r="AC330" i="143" s="1"/>
  <c r="N332" i="143"/>
  <c r="K332" i="143" a="1"/>
  <c r="K332" i="143" s="1"/>
  <c r="W21" i="249" s="1" a="1"/>
  <c r="W21" i="249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W29" i="249" l="1"/>
  <c r="W32" i="249"/>
  <c r="AB331" i="143"/>
  <c r="AC331" i="143" s="1"/>
  <c r="Z332" i="143"/>
  <c r="X332" i="143"/>
  <c r="AA332" i="143" s="1"/>
  <c r="Q333" i="143" a="1"/>
  <c r="Q333" i="143" s="1"/>
  <c r="N333" i="143"/>
  <c r="K333" i="143" a="1"/>
  <c r="K333" i="143" s="1"/>
  <c r="X21" i="249" s="1" a="1"/>
  <c r="X21" i="249" s="1"/>
  <c r="G334" i="143"/>
  <c r="I334" i="143"/>
  <c r="F334" i="143"/>
  <c r="E334" i="143"/>
  <c r="J334" i="143"/>
  <c r="D335" i="143"/>
  <c r="H334" i="143"/>
  <c r="Y332" i="143"/>
  <c r="O332" i="143"/>
  <c r="P332" i="143"/>
  <c r="R332" i="143" s="1"/>
  <c r="X29" i="249" l="1"/>
  <c r="X32" i="249"/>
  <c r="AB332" i="143"/>
  <c r="AC332" i="143" s="1"/>
  <c r="O333" i="143"/>
  <c r="P333" i="143"/>
  <c r="R333" i="143" s="1"/>
  <c r="Y333" i="143" s="1"/>
  <c r="E335" i="143"/>
  <c r="G335" i="143"/>
  <c r="F335" i="143"/>
  <c r="I335" i="143"/>
  <c r="J335" i="143"/>
  <c r="H335" i="143"/>
  <c r="D336" i="143"/>
  <c r="K334" i="143" a="1"/>
  <c r="K334" i="143" s="1"/>
  <c r="Q334" i="143" a="1"/>
  <c r="Q334" i="143" s="1"/>
  <c r="N334" i="143"/>
  <c r="Z333" i="143"/>
  <c r="X333" i="143"/>
  <c r="AA333" i="143" s="1"/>
  <c r="AB333" i="143" l="1"/>
  <c r="AC333" i="143" s="1"/>
  <c r="Z334" i="143"/>
  <c r="O334" i="143"/>
  <c r="P334" i="143"/>
  <c r="R334" i="143" s="1"/>
  <c r="Y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Z21" i="249" s="1" a="1"/>
  <c r="Z21" i="249" s="1"/>
  <c r="N335" i="143"/>
  <c r="X334" i="143"/>
  <c r="AA334" i="143" s="1"/>
  <c r="Z29" i="249" l="1"/>
  <c r="Z32" i="249"/>
  <c r="Z335" i="143"/>
  <c r="AB334" i="143"/>
  <c r="AC334" i="143" s="1"/>
  <c r="O335" i="143"/>
  <c r="P335" i="143"/>
  <c r="R335" i="143" s="1"/>
  <c r="X335" i="143"/>
  <c r="AA335" i="143" s="1"/>
  <c r="Y335" i="143"/>
  <c r="Q336" i="143" a="1"/>
  <c r="Q336" i="143" s="1"/>
  <c r="K336" i="143" a="1"/>
  <c r="K336" i="143" s="1"/>
  <c r="AA21" i="249" s="1" a="1"/>
  <c r="AA21" i="249" s="1"/>
  <c r="N336" i="143"/>
  <c r="J337" i="143"/>
  <c r="D338" i="143"/>
  <c r="F337" i="143"/>
  <c r="G337" i="143"/>
  <c r="H337" i="143"/>
  <c r="E337" i="143"/>
  <c r="I337" i="143"/>
  <c r="AA29" i="249" l="1"/>
  <c r="AA32" i="249"/>
  <c r="AB335" i="143"/>
  <c r="AC335" i="143" s="1"/>
  <c r="AA336" i="143"/>
  <c r="Z336" i="143"/>
  <c r="I338" i="143"/>
  <c r="D339" i="143"/>
  <c r="H338" i="143"/>
  <c r="J338" i="143"/>
  <c r="G338" i="143"/>
  <c r="F338" i="143"/>
  <c r="E338" i="143"/>
  <c r="Y336" i="143"/>
  <c r="P336" i="143"/>
  <c r="R336" i="143" s="1"/>
  <c r="O336" i="143"/>
  <c r="X336" i="143"/>
  <c r="K337" i="143" a="1"/>
  <c r="K337" i="143" s="1"/>
  <c r="AB21" i="249" s="1" a="1"/>
  <c r="AB21" i="249" s="1"/>
  <c r="N337" i="143"/>
  <c r="Q337" i="143" a="1"/>
  <c r="Q337" i="143" s="1"/>
  <c r="AB29" i="249" l="1"/>
  <c r="AB32" i="249"/>
  <c r="Z337" i="143"/>
  <c r="AB336" i="143"/>
  <c r="AC336" i="143" s="1"/>
  <c r="X337" i="143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AC21" i="249" s="1" a="1"/>
  <c r="AC21" i="249" s="1"/>
  <c r="N338" i="143"/>
  <c r="P337" i="143"/>
  <c r="R337" i="143" s="1"/>
  <c r="O337" i="143"/>
  <c r="AA337" i="143"/>
  <c r="Y337" i="143"/>
  <c r="AC32" i="249" l="1"/>
  <c r="AC29" i="249"/>
  <c r="Y338" i="143"/>
  <c r="AB337" i="143"/>
  <c r="AC337" i="143" s="1"/>
  <c r="Z338" i="143"/>
  <c r="E340" i="143"/>
  <c r="D341" i="143"/>
  <c r="I340" i="143"/>
  <c r="G340" i="143"/>
  <c r="J340" i="143"/>
  <c r="F340" i="143"/>
  <c r="H340" i="143"/>
  <c r="X338" i="143"/>
  <c r="AA338" i="143" s="1"/>
  <c r="P338" i="143"/>
  <c r="R338" i="143" s="1"/>
  <c r="O338" i="143"/>
  <c r="Q339" i="143" a="1"/>
  <c r="Q339" i="143" s="1"/>
  <c r="K339" i="143" a="1"/>
  <c r="K339" i="143" s="1"/>
  <c r="AD21" i="249" s="1" a="1"/>
  <c r="AD21" i="249" s="1"/>
  <c r="N339" i="143"/>
  <c r="AD32" i="249" l="1"/>
  <c r="AD29" i="249"/>
  <c r="AB338" i="143"/>
  <c r="AC338" i="143" s="1"/>
  <c r="X339" i="143"/>
  <c r="AA339" i="143" s="1"/>
  <c r="Q340" i="143" a="1"/>
  <c r="Q340" i="143" s="1"/>
  <c r="N340" i="143"/>
  <c r="K340" i="143" a="1"/>
  <c r="K340" i="143" s="1"/>
  <c r="AE21" i="249" s="1" a="1"/>
  <c r="AE21" i="249" s="1"/>
  <c r="H341" i="143"/>
  <c r="J341" i="143"/>
  <c r="G341" i="143"/>
  <c r="I341" i="143"/>
  <c r="F341" i="143"/>
  <c r="D342" i="143"/>
  <c r="E341" i="143"/>
  <c r="O339" i="143"/>
  <c r="P339" i="143"/>
  <c r="R339" i="143" s="1"/>
  <c r="Y339" i="143"/>
  <c r="Z339" i="143"/>
  <c r="AE32" i="249" l="1"/>
  <c r="AE29" i="249"/>
  <c r="Y340" i="143"/>
  <c r="Z340" i="143"/>
  <c r="X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B339" i="143"/>
  <c r="AC339" i="143" s="1"/>
  <c r="AA340" i="143"/>
  <c r="P340" i="143"/>
  <c r="R340" i="143" s="1"/>
  <c r="O340" i="143"/>
  <c r="AB340" i="143" l="1"/>
  <c r="AC340" i="143" s="1"/>
  <c r="AA341" i="143"/>
  <c r="Z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Y341" i="143"/>
  <c r="X341" i="143"/>
  <c r="AB341" i="143" l="1"/>
  <c r="AC341" i="143" s="1"/>
  <c r="Z342" i="143"/>
  <c r="X342" i="143"/>
  <c r="O342" i="143"/>
  <c r="P342" i="143"/>
  <c r="R342" i="143" s="1"/>
  <c r="D345" i="143"/>
  <c r="H344" i="143"/>
  <c r="F344" i="143"/>
  <c r="G344" i="143"/>
  <c r="E344" i="143"/>
  <c r="I344" i="143"/>
  <c r="J344" i="143"/>
  <c r="AA342" i="143"/>
  <c r="Y342" i="143"/>
  <c r="N343" i="143"/>
  <c r="K343" i="143" a="1"/>
  <c r="K343" i="143" s="1"/>
  <c r="AH21" i="249" s="1" a="1"/>
  <c r="AH21" i="249" s="1"/>
  <c r="Q343" i="143" a="1"/>
  <c r="Q343" i="143" s="1"/>
  <c r="AH32" i="249" l="1"/>
  <c r="AH29" i="249"/>
  <c r="AB342" i="143"/>
  <c r="AC342" i="143" s="1"/>
  <c r="Z343" i="143"/>
  <c r="D346" i="143"/>
  <c r="H345" i="143"/>
  <c r="F345" i="143"/>
  <c r="E345" i="143"/>
  <c r="G345" i="143"/>
  <c r="J345" i="143"/>
  <c r="I345" i="143"/>
  <c r="K344" i="143" a="1"/>
  <c r="K344" i="143" s="1"/>
  <c r="AI21" i="249" s="1" a="1"/>
  <c r="AI21" i="249" s="1"/>
  <c r="Q344" i="143" a="1"/>
  <c r="Q344" i="143" s="1"/>
  <c r="N344" i="143"/>
  <c r="P343" i="143"/>
  <c r="R343" i="143" s="1"/>
  <c r="Y343" i="143" s="1"/>
  <c r="O343" i="143"/>
  <c r="X343" i="143"/>
  <c r="AA343" i="143" s="1"/>
  <c r="AI29" i="249" l="1"/>
  <c r="AI32" i="249"/>
  <c r="Y344" i="143"/>
  <c r="AB343" i="143"/>
  <c r="AC343" i="143" s="1"/>
  <c r="AA344" i="143"/>
  <c r="Z344" i="143"/>
  <c r="O344" i="143"/>
  <c r="P344" i="143"/>
  <c r="R344" i="143" s="1"/>
  <c r="X344" i="143"/>
  <c r="N345" i="143"/>
  <c r="K345" i="143" a="1"/>
  <c r="K345" i="143" s="1"/>
  <c r="F21" i="248" s="1" a="1"/>
  <c r="F21" i="248" s="1"/>
  <c r="Q345" i="143" a="1"/>
  <c r="Q345" i="143" s="1"/>
  <c r="J346" i="143"/>
  <c r="G346" i="143"/>
  <c r="E346" i="143"/>
  <c r="F346" i="143"/>
  <c r="H346" i="143"/>
  <c r="D347" i="143"/>
  <c r="I346" i="143"/>
  <c r="F29" i="248" l="1"/>
  <c r="F32" i="248"/>
  <c r="AB344" i="143"/>
  <c r="AC344" i="143" s="1"/>
  <c r="Z345" i="143"/>
  <c r="H347" i="143"/>
  <c r="D348" i="143"/>
  <c r="F347" i="143"/>
  <c r="I347" i="143"/>
  <c r="E347" i="143"/>
  <c r="G347" i="143"/>
  <c r="J347" i="143"/>
  <c r="Y345" i="143"/>
  <c r="O345" i="143"/>
  <c r="P345" i="143"/>
  <c r="R345" i="143" s="1"/>
  <c r="X345" i="143"/>
  <c r="AA345" i="143" s="1"/>
  <c r="N346" i="143"/>
  <c r="Q346" i="143" a="1"/>
  <c r="Q346" i="143" s="1"/>
  <c r="K346" i="143" a="1"/>
  <c r="K346" i="143" s="1"/>
  <c r="G21" i="248" s="1" a="1"/>
  <c r="G21" i="248" s="1"/>
  <c r="G29" i="248" l="1"/>
  <c r="G32" i="248"/>
  <c r="X346" i="143"/>
  <c r="AA346" i="143" s="1"/>
  <c r="N347" i="143"/>
  <c r="Q347" i="143" a="1"/>
  <c r="Q347" i="143" s="1"/>
  <c r="K347" i="143" a="1"/>
  <c r="K347" i="143" s="1"/>
  <c r="H21" i="248" s="1" a="1"/>
  <c r="H21" i="248" s="1"/>
  <c r="F348" i="143"/>
  <c r="D349" i="143"/>
  <c r="J348" i="143"/>
  <c r="I348" i="143"/>
  <c r="E348" i="143"/>
  <c r="G348" i="143"/>
  <c r="H348" i="143"/>
  <c r="AB345" i="143"/>
  <c r="AC345" i="143" s="1"/>
  <c r="Y346" i="143"/>
  <c r="P346" i="143"/>
  <c r="R346" i="143" s="1"/>
  <c r="O346" i="143"/>
  <c r="Z346" i="143"/>
  <c r="H29" i="248" l="1"/>
  <c r="H32" i="248"/>
  <c r="Y347" i="143"/>
  <c r="X347" i="143"/>
  <c r="AB346" i="143"/>
  <c r="AC346" i="143" s="1"/>
  <c r="Z347" i="143"/>
  <c r="Q348" i="143" a="1"/>
  <c r="Q348" i="143" s="1"/>
  <c r="K348" i="143" a="1"/>
  <c r="K348" i="143" s="1"/>
  <c r="I21" i="248" s="1" a="1"/>
  <c r="I21" i="248" s="1"/>
  <c r="N348" i="143"/>
  <c r="F349" i="143"/>
  <c r="E349" i="143"/>
  <c r="D350" i="143"/>
  <c r="J349" i="143"/>
  <c r="I349" i="143"/>
  <c r="G349" i="143"/>
  <c r="H349" i="143"/>
  <c r="AA347" i="143"/>
  <c r="O347" i="143"/>
  <c r="P347" i="143"/>
  <c r="R347" i="143" s="1"/>
  <c r="I29" i="248" l="1"/>
  <c r="I32" i="248"/>
  <c r="AA348" i="143"/>
  <c r="Z348" i="143"/>
  <c r="AB347" i="143"/>
  <c r="AC347" i="143" s="1"/>
  <c r="X348" i="143"/>
  <c r="Q349" i="143" a="1"/>
  <c r="Q349" i="143" s="1"/>
  <c r="N349" i="143"/>
  <c r="K349" i="143" a="1"/>
  <c r="K349" i="143" s="1"/>
  <c r="AA349" i="143" s="1"/>
  <c r="O348" i="143"/>
  <c r="P348" i="143"/>
  <c r="R348" i="143" s="1"/>
  <c r="Y348" i="143"/>
  <c r="H350" i="143"/>
  <c r="F350" i="143"/>
  <c r="E350" i="143"/>
  <c r="J350" i="143"/>
  <c r="I350" i="143"/>
  <c r="G350" i="143"/>
  <c r="D351" i="143"/>
  <c r="AB348" i="143" l="1"/>
  <c r="AC348" i="143" s="1"/>
  <c r="X349" i="143"/>
  <c r="Y349" i="143"/>
  <c r="H351" i="143"/>
  <c r="D352" i="143"/>
  <c r="G351" i="143"/>
  <c r="F351" i="143"/>
  <c r="E351" i="143"/>
  <c r="I351" i="143"/>
  <c r="J351" i="143"/>
  <c r="N350" i="143"/>
  <c r="K350" i="143" a="1"/>
  <c r="K350" i="143" s="1"/>
  <c r="Q350" i="143" a="1"/>
  <c r="Q350" i="143" s="1"/>
  <c r="Z349" i="143"/>
  <c r="P349" i="143"/>
  <c r="R349" i="143" s="1"/>
  <c r="O349" i="143"/>
  <c r="AB349" i="143" l="1"/>
  <c r="AC349" i="143" s="1"/>
  <c r="Y350" i="143"/>
  <c r="X350" i="143"/>
  <c r="Z350" i="143"/>
  <c r="P350" i="143"/>
  <c r="R350" i="143" s="1"/>
  <c r="O350" i="143"/>
  <c r="K351" i="143" a="1"/>
  <c r="K351" i="143" s="1"/>
  <c r="L21" i="248" s="1" a="1"/>
  <c r="L21" i="248" s="1"/>
  <c r="Q351" i="143" a="1"/>
  <c r="Q351" i="143" s="1"/>
  <c r="N351" i="143"/>
  <c r="F352" i="143"/>
  <c r="E352" i="143"/>
  <c r="I352" i="143"/>
  <c r="H352" i="143"/>
  <c r="D353" i="143"/>
  <c r="G352" i="143"/>
  <c r="J352" i="143"/>
  <c r="AA350" i="143"/>
  <c r="L29" i="248" l="1"/>
  <c r="L32" i="248"/>
  <c r="Y351" i="143"/>
  <c r="AA351" i="143"/>
  <c r="X351" i="143"/>
  <c r="AB350" i="143"/>
  <c r="AC350" i="143" s="1"/>
  <c r="N352" i="143"/>
  <c r="Q352" i="143" a="1"/>
  <c r="Q352" i="143" s="1"/>
  <c r="K352" i="143" a="1"/>
  <c r="K352" i="143" s="1"/>
  <c r="M21" i="248" s="1" a="1"/>
  <c r="M21" i="248" s="1"/>
  <c r="O351" i="143"/>
  <c r="P351" i="143"/>
  <c r="R351" i="143" s="1"/>
  <c r="Z351" i="143"/>
  <c r="E353" i="143"/>
  <c r="I353" i="143"/>
  <c r="D354" i="143"/>
  <c r="J353" i="143"/>
  <c r="G353" i="143"/>
  <c r="F353" i="143"/>
  <c r="H353" i="143"/>
  <c r="M29" i="248" l="1"/>
  <c r="M32" i="248"/>
  <c r="Y352" i="143"/>
  <c r="Z352" i="143"/>
  <c r="AB351" i="143"/>
  <c r="AC351" i="143" s="1"/>
  <c r="X352" i="143"/>
  <c r="AA352" i="143" s="1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N21" i="248" s="1" a="1"/>
  <c r="N21" i="248" s="1"/>
  <c r="Q353" i="143" a="1"/>
  <c r="Q353" i="143" s="1"/>
  <c r="N29" i="248" l="1"/>
  <c r="N32" i="248"/>
  <c r="AB352" i="143"/>
  <c r="AC352" i="143" s="1"/>
  <c r="Y353" i="143"/>
  <c r="Z353" i="143"/>
  <c r="I355" i="143"/>
  <c r="G355" i="143"/>
  <c r="F355" i="143"/>
  <c r="J355" i="143"/>
  <c r="D356" i="143"/>
  <c r="H355" i="143"/>
  <c r="E355" i="143"/>
  <c r="P353" i="143"/>
  <c r="R353" i="143" s="1"/>
  <c r="O353" i="143"/>
  <c r="X353" i="143"/>
  <c r="N354" i="143"/>
  <c r="Q354" i="143" a="1"/>
  <c r="Q354" i="143" s="1"/>
  <c r="K354" i="143" a="1"/>
  <c r="K354" i="143" s="1"/>
  <c r="O21" i="248" s="1" a="1"/>
  <c r="O21" i="248" s="1"/>
  <c r="O32" i="248" l="1"/>
  <c r="O29" i="248"/>
  <c r="AA354" i="143"/>
  <c r="X354" i="143"/>
  <c r="N355" i="143"/>
  <c r="Q355" i="143" a="1"/>
  <c r="Q355" i="143" s="1"/>
  <c r="K355" i="143" a="1"/>
  <c r="K355" i="143" s="1"/>
  <c r="P21" i="248" s="1" a="1"/>
  <c r="P21" i="248" s="1"/>
  <c r="I356" i="143"/>
  <c r="G356" i="143"/>
  <c r="D357" i="143"/>
  <c r="F356" i="143"/>
  <c r="E356" i="143"/>
  <c r="J356" i="143"/>
  <c r="H356" i="143"/>
  <c r="AA353" i="143"/>
  <c r="AB353" i="143" s="1"/>
  <c r="AC353" i="143" s="1"/>
  <c r="Y354" i="143"/>
  <c r="O354" i="143"/>
  <c r="P354" i="143"/>
  <c r="R354" i="143" s="1"/>
  <c r="Z354" i="143"/>
  <c r="P32" i="248" l="1"/>
  <c r="P29" i="248"/>
  <c r="Y355" i="143"/>
  <c r="Z355" i="143"/>
  <c r="X355" i="143"/>
  <c r="AA355" i="143"/>
  <c r="K356" i="143" a="1"/>
  <c r="K356" i="143" s="1"/>
  <c r="Q21" i="248" s="1" a="1"/>
  <c r="Q21" i="248" s="1"/>
  <c r="N356" i="143"/>
  <c r="Q356" i="143" a="1"/>
  <c r="Q356" i="143" s="1"/>
  <c r="J357" i="143"/>
  <c r="E357" i="143"/>
  <c r="I357" i="143"/>
  <c r="G357" i="143"/>
  <c r="H357" i="143"/>
  <c r="D358" i="143"/>
  <c r="F357" i="143"/>
  <c r="AB354" i="143"/>
  <c r="AC354" i="143" s="1"/>
  <c r="P355" i="143"/>
  <c r="R355" i="143" s="1"/>
  <c r="O355" i="143"/>
  <c r="Q32" i="248" l="1"/>
  <c r="Q29" i="248"/>
  <c r="Y356" i="143"/>
  <c r="AB355" i="143"/>
  <c r="AC355" i="143" s="1"/>
  <c r="Z356" i="143"/>
  <c r="AA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R21" i="248" s="1" a="1"/>
  <c r="R21" i="248" s="1"/>
  <c r="X356" i="143"/>
  <c r="R29" i="248" l="1"/>
  <c r="R32" i="248"/>
  <c r="Y357" i="143"/>
  <c r="Z357" i="143"/>
  <c r="AB356" i="143"/>
  <c r="AC356" i="143" s="1"/>
  <c r="X357" i="143"/>
  <c r="AA357" i="143"/>
  <c r="O357" i="143"/>
  <c r="P357" i="143"/>
  <c r="R357" i="143" s="1"/>
  <c r="Q358" i="143" a="1"/>
  <c r="Q358" i="143" s="1"/>
  <c r="K358" i="143" a="1"/>
  <c r="K358" i="143" s="1"/>
  <c r="S21" i="248" s="1" a="1"/>
  <c r="S21" i="248" s="1"/>
  <c r="N358" i="143"/>
  <c r="E359" i="143"/>
  <c r="I359" i="143"/>
  <c r="J359" i="143"/>
  <c r="G359" i="143"/>
  <c r="F359" i="143"/>
  <c r="H359" i="143"/>
  <c r="D360" i="143"/>
  <c r="S29" i="248" l="1"/>
  <c r="S32" i="248"/>
  <c r="Y358" i="143"/>
  <c r="AB357" i="143"/>
  <c r="AC357" i="143" s="1"/>
  <c r="AA358" i="143"/>
  <c r="Z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T21" i="248" s="1" a="1"/>
  <c r="T21" i="248" s="1"/>
  <c r="N359" i="143"/>
  <c r="Q359" i="143" a="1"/>
  <c r="Q359" i="143" s="1"/>
  <c r="X358" i="143"/>
  <c r="T32" i="248" l="1"/>
  <c r="T29" i="248"/>
  <c r="AB358" i="143"/>
  <c r="AC358" i="143" s="1"/>
  <c r="Z359" i="143"/>
  <c r="O359" i="143"/>
  <c r="P359" i="143"/>
  <c r="R359" i="143" s="1"/>
  <c r="X359" i="143"/>
  <c r="AA359" i="143" s="1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U21" i="248" s="1" a="1"/>
  <c r="U21" i="248" s="1"/>
  <c r="N360" i="143"/>
  <c r="Y359" i="143"/>
  <c r="U29" i="248" l="1"/>
  <c r="U32" i="248"/>
  <c r="Y360" i="143"/>
  <c r="Z360" i="143"/>
  <c r="N361" i="143"/>
  <c r="K361" i="143" a="1"/>
  <c r="K361" i="143" s="1"/>
  <c r="V21" i="248" s="1" a="1"/>
  <c r="V21" i="248" s="1"/>
  <c r="Q361" i="143" a="1"/>
  <c r="Q361" i="143" s="1"/>
  <c r="O360" i="143"/>
  <c r="P360" i="143"/>
  <c r="R360" i="143" s="1"/>
  <c r="X360" i="143"/>
  <c r="J362" i="143"/>
  <c r="F362" i="143"/>
  <c r="I362" i="143"/>
  <c r="G362" i="143"/>
  <c r="H362" i="143"/>
  <c r="E362" i="143"/>
  <c r="D363" i="143"/>
  <c r="AB359" i="143"/>
  <c r="AC359" i="143" s="1"/>
  <c r="V32" i="248" l="1"/>
  <c r="V29" i="248"/>
  <c r="Y361" i="143"/>
  <c r="AA361" i="143"/>
  <c r="AA360" i="143"/>
  <c r="AB360" i="143" s="1"/>
  <c r="AC360" i="143" s="1"/>
  <c r="Z361" i="143"/>
  <c r="K362" i="143" a="1"/>
  <c r="K362" i="143" s="1"/>
  <c r="W21" i="248" s="1" a="1"/>
  <c r="W21" i="248" s="1"/>
  <c r="Q362" i="143" a="1"/>
  <c r="Q362" i="143" s="1"/>
  <c r="N362" i="143"/>
  <c r="X361" i="143"/>
  <c r="E363" i="143"/>
  <c r="J363" i="143"/>
  <c r="I363" i="143"/>
  <c r="F363" i="143"/>
  <c r="G363" i="143"/>
  <c r="D364" i="143"/>
  <c r="H363" i="143"/>
  <c r="P361" i="143"/>
  <c r="R361" i="143" s="1"/>
  <c r="O361" i="143"/>
  <c r="W29" i="248" l="1"/>
  <c r="W32" i="248"/>
  <c r="AB361" i="143"/>
  <c r="AC361" i="143" s="1"/>
  <c r="X362" i="143"/>
  <c r="AA362" i="143" s="1"/>
  <c r="Z362" i="143"/>
  <c r="O362" i="143"/>
  <c r="P362" i="143"/>
  <c r="R362" i="143" s="1"/>
  <c r="Y362" i="143" s="1"/>
  <c r="Q363" i="143" a="1"/>
  <c r="Q363" i="143" s="1"/>
  <c r="K363" i="143" a="1"/>
  <c r="K363" i="143" s="1"/>
  <c r="X21" i="248" s="1" a="1"/>
  <c r="X21" i="248" s="1"/>
  <c r="N363" i="143"/>
  <c r="G364" i="143"/>
  <c r="F364" i="143"/>
  <c r="H364" i="143"/>
  <c r="J364" i="143"/>
  <c r="E364" i="143"/>
  <c r="D365" i="143"/>
  <c r="I364" i="143"/>
  <c r="X29" i="248" l="1"/>
  <c r="X32" i="248"/>
  <c r="AB362" i="143"/>
  <c r="AC362" i="143" s="1"/>
  <c r="E365" i="143"/>
  <c r="J365" i="143"/>
  <c r="I365" i="143"/>
  <c r="H365" i="143"/>
  <c r="D366" i="143"/>
  <c r="G365" i="143"/>
  <c r="F365" i="143"/>
  <c r="X363" i="143"/>
  <c r="AA363" i="143" s="1"/>
  <c r="Z363" i="143"/>
  <c r="O363" i="143"/>
  <c r="P363" i="143"/>
  <c r="R363" i="143" s="1"/>
  <c r="Y363" i="143" s="1"/>
  <c r="Q364" i="143" a="1"/>
  <c r="Q364" i="143" s="1"/>
  <c r="N364" i="143"/>
  <c r="K364" i="143" a="1"/>
  <c r="K364" i="143" s="1"/>
  <c r="Y21" i="248" s="1" a="1"/>
  <c r="Y21" i="248" s="1"/>
  <c r="Y29" i="248" l="1"/>
  <c r="Y32" i="248"/>
  <c r="AB363" i="143"/>
  <c r="AC363" i="143" s="1"/>
  <c r="Z364" i="143"/>
  <c r="X364" i="143"/>
  <c r="N365" i="143"/>
  <c r="Q365" i="143" a="1"/>
  <c r="Q365" i="143" s="1"/>
  <c r="K365" i="143" a="1"/>
  <c r="K365" i="143" s="1"/>
  <c r="AA364" i="143"/>
  <c r="D367" i="143"/>
  <c r="E366" i="143"/>
  <c r="H366" i="143"/>
  <c r="G366" i="143"/>
  <c r="J366" i="143"/>
  <c r="F366" i="143"/>
  <c r="I366" i="143"/>
  <c r="P364" i="143"/>
  <c r="R364" i="143" s="1"/>
  <c r="Y364" i="143" s="1"/>
  <c r="O364" i="143"/>
  <c r="Z365" i="143" l="1"/>
  <c r="AB364" i="143"/>
  <c r="AC364" i="143" s="1"/>
  <c r="E367" i="143"/>
  <c r="I367" i="143"/>
  <c r="H367" i="143"/>
  <c r="J367" i="143"/>
  <c r="F367" i="143"/>
  <c r="G367" i="143"/>
  <c r="D368" i="143"/>
  <c r="X365" i="143"/>
  <c r="AA365" i="143" s="1"/>
  <c r="P365" i="143"/>
  <c r="R365" i="143" s="1"/>
  <c r="Y365" i="143" s="1"/>
  <c r="O365" i="143"/>
  <c r="K366" i="143" a="1"/>
  <c r="K366" i="143" s="1"/>
  <c r="AA21" i="248" s="1" a="1"/>
  <c r="AA21" i="248" s="1"/>
  <c r="N366" i="143"/>
  <c r="Q366" i="143" a="1"/>
  <c r="Q366" i="143" s="1"/>
  <c r="AA29" i="248" l="1"/>
  <c r="AA32" i="248"/>
  <c r="Y366" i="143"/>
  <c r="AB365" i="143"/>
  <c r="AC365" i="143" s="1"/>
  <c r="Z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N367" i="143"/>
  <c r="P366" i="143"/>
  <c r="R366" i="143" s="1"/>
  <c r="O366" i="143"/>
  <c r="X366" i="143"/>
  <c r="AA366" i="143" s="1"/>
  <c r="AB366" i="143" l="1"/>
  <c r="AC366" i="143" s="1"/>
  <c r="Z367" i="143"/>
  <c r="X367" i="143"/>
  <c r="AA367" i="143" s="1"/>
  <c r="O367" i="143"/>
  <c r="P367" i="143"/>
  <c r="R367" i="143" s="1"/>
  <c r="K368" i="143" a="1"/>
  <c r="K368" i="143" s="1"/>
  <c r="AC21" i="248" s="1" a="1"/>
  <c r="AC21" i="248" s="1"/>
  <c r="N368" i="143"/>
  <c r="Q368" i="143" a="1"/>
  <c r="Q368" i="143" s="1"/>
  <c r="I369" i="143"/>
  <c r="J369" i="143"/>
  <c r="F369" i="143"/>
  <c r="E369" i="143"/>
  <c r="G369" i="143"/>
  <c r="D370" i="143"/>
  <c r="H369" i="143"/>
  <c r="Y367" i="143"/>
  <c r="AC29" i="248" l="1"/>
  <c r="AC32" i="248"/>
  <c r="Y368" i="143"/>
  <c r="AA368" i="143"/>
  <c r="AB367" i="143"/>
  <c r="AC367" i="143" s="1"/>
  <c r="P368" i="143"/>
  <c r="R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Z368" i="143"/>
  <c r="X368" i="143"/>
  <c r="X369" i="143" l="1"/>
  <c r="AA369" i="143" s="1"/>
  <c r="AB368" i="143"/>
  <c r="AC368" i="143" s="1"/>
  <c r="Z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Y369" i="143" s="1"/>
  <c r="O369" i="143"/>
  <c r="AB369" i="143" l="1"/>
  <c r="AC369" i="143" s="1"/>
  <c r="X370" i="143"/>
  <c r="AA370" i="143" s="1"/>
  <c r="E372" i="143"/>
  <c r="D373" i="143"/>
  <c r="H372" i="143"/>
  <c r="G372" i="143"/>
  <c r="F372" i="143"/>
  <c r="J372" i="143"/>
  <c r="I372" i="143"/>
  <c r="P370" i="143"/>
  <c r="R370" i="143" s="1"/>
  <c r="Y370" i="143" s="1"/>
  <c r="O370" i="143"/>
  <c r="Q371" i="143" a="1"/>
  <c r="Q371" i="143" s="1"/>
  <c r="N371" i="143"/>
  <c r="K371" i="143" a="1"/>
  <c r="K371" i="143" s="1"/>
  <c r="Z370" i="143"/>
  <c r="AH21" i="135" a="1"/>
  <c r="AH21" i="135" s="1"/>
  <c r="AJ21" i="135" a="1"/>
  <c r="AJ21" i="135" s="1"/>
  <c r="AI21" i="135" a="1"/>
  <c r="AI21" i="135" s="1"/>
  <c r="AL21" i="135" l="1" a="1"/>
  <c r="AL21" i="135" s="1"/>
  <c r="J172" i="145" s="1"/>
  <c r="X371" i="143"/>
  <c r="Y371" i="143"/>
  <c r="AB370" i="143"/>
  <c r="AC370" i="143" s="1"/>
  <c r="Z371" i="143"/>
  <c r="P371" i="143"/>
  <c r="R371" i="143" s="1"/>
  <c r="O371" i="143"/>
  <c r="N372" i="143"/>
  <c r="Q372" i="143" a="1"/>
  <c r="Q372" i="143" s="1"/>
  <c r="K372" i="143" a="1"/>
  <c r="K372" i="143" s="1"/>
  <c r="H373" i="143"/>
  <c r="D374" i="143"/>
  <c r="I373" i="143"/>
  <c r="J373" i="143"/>
  <c r="G373" i="143"/>
  <c r="E373" i="143"/>
  <c r="F373" i="143"/>
  <c r="AA371" i="143"/>
  <c r="AI32" i="135"/>
  <c r="AI29" i="135"/>
  <c r="AJ32" i="135"/>
  <c r="AJ29" i="135"/>
  <c r="AH29" i="135"/>
  <c r="AH32" i="135"/>
  <c r="AM21" i="135"/>
  <c r="J171" i="145" s="1"/>
  <c r="AA372" i="143" l="1"/>
  <c r="AB371" i="143"/>
  <c r="AC371" i="143" s="1"/>
  <c r="Y372" i="143"/>
  <c r="Z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AH21" i="248" s="1" a="1"/>
  <c r="AH21" i="248" s="1"/>
  <c r="X372" i="143"/>
  <c r="AL32" i="135"/>
  <c r="AL29" i="135"/>
  <c r="J121" i="145" s="1"/>
  <c r="J92" i="145" s="1"/>
  <c r="AH29" i="248" l="1"/>
  <c r="AH32" i="248"/>
  <c r="Y373" i="143"/>
  <c r="J125" i="145"/>
  <c r="H12" i="139" s="1"/>
  <c r="R372" i="143"/>
  <c r="Z373" i="143"/>
  <c r="L13" i="141"/>
  <c r="T18" i="141"/>
  <c r="T19" i="141" s="1"/>
  <c r="T20" i="141" s="1"/>
  <c r="H12" i="141"/>
  <c r="K18" i="141"/>
  <c r="K19" i="141" s="1"/>
  <c r="K20" i="141" s="1"/>
  <c r="K374" i="143" a="1"/>
  <c r="K374" i="143" s="1"/>
  <c r="AI21" i="248" s="1" a="1"/>
  <c r="AI21" i="248" s="1"/>
  <c r="N374" i="143"/>
  <c r="Q374" i="143" a="1"/>
  <c r="Q374" i="143" s="1"/>
  <c r="P373" i="143"/>
  <c r="R373" i="143" s="1"/>
  <c r="O373" i="143"/>
  <c r="X373" i="143"/>
  <c r="AA373" i="143" s="1"/>
  <c r="H375" i="143"/>
  <c r="J375" i="143"/>
  <c r="G375" i="143"/>
  <c r="U12" i="141" s="1"/>
  <c r="F375" i="143"/>
  <c r="E375" i="143"/>
  <c r="I375" i="143"/>
  <c r="N375" i="143" s="1"/>
  <c r="O375" i="143" s="1"/>
  <c r="AB372" i="143"/>
  <c r="AC372" i="143" s="1"/>
  <c r="J30" i="135" a="1"/>
  <c r="J30" i="135" s="1"/>
  <c r="Q30" i="135" a="1"/>
  <c r="Q30" i="135" s="1"/>
  <c r="X30" i="135" a="1"/>
  <c r="X30" i="135" s="1"/>
  <c r="AE30" i="135" a="1"/>
  <c r="AE30" i="135" s="1"/>
  <c r="AJ30" i="135" a="1"/>
  <c r="AJ30" i="135" s="1"/>
  <c r="AI29" i="248" l="1"/>
  <c r="AI32" i="248"/>
  <c r="K375" i="143" a="1"/>
  <c r="K375" i="143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Z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B373" i="143"/>
  <c r="AC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R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X374" i="143"/>
  <c r="AA374" i="143" s="1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0" i="139"/>
  <c r="AF44" i="139" s="1"/>
  <c r="Y375" i="143" l="1"/>
  <c r="AJ21" i="248" a="1"/>
  <c r="AJ21" i="248" s="1"/>
  <c r="J21" i="256" a="1"/>
  <c r="J21" i="256" s="1"/>
  <c r="J21" i="251" a="1"/>
  <c r="J21" i="251" s="1"/>
  <c r="J21" i="253" a="1"/>
  <c r="J21" i="253" s="1"/>
  <c r="J21" i="254" a="1"/>
  <c r="J21" i="254" s="1"/>
  <c r="K21" i="254" a="1"/>
  <c r="K21" i="254" s="1"/>
  <c r="J21" i="257" a="1"/>
  <c r="J21" i="257" s="1"/>
  <c r="K21" i="257" a="1"/>
  <c r="K21" i="257" s="1"/>
  <c r="J21" i="248" a="1"/>
  <c r="J21" i="248" s="1"/>
  <c r="J21" i="255" a="1"/>
  <c r="J21" i="255" s="1"/>
  <c r="J21" i="249" a="1"/>
  <c r="J21" i="249" s="1"/>
  <c r="K21" i="256" a="1"/>
  <c r="K21" i="256" s="1"/>
  <c r="K21" i="248" a="1"/>
  <c r="K21" i="248" s="1"/>
  <c r="L21" i="253" a="1"/>
  <c r="L21" i="253" s="1"/>
  <c r="O21" i="252" a="1"/>
  <c r="O21" i="252" s="1"/>
  <c r="P21" i="251" a="1"/>
  <c r="P21" i="251" s="1"/>
  <c r="O21" i="255" a="1"/>
  <c r="O21" i="255" s="1"/>
  <c r="P21" i="250" a="1"/>
  <c r="P21" i="250" s="1"/>
  <c r="P21" i="253" a="1"/>
  <c r="P21" i="253" s="1"/>
  <c r="T21" i="257" a="1"/>
  <c r="T21" i="257" s="1"/>
  <c r="V21" i="251" a="1"/>
  <c r="V21" i="251" s="1"/>
  <c r="U21" i="255" a="1"/>
  <c r="U21" i="255" s="1"/>
  <c r="U21" i="251" a="1"/>
  <c r="U21" i="251" s="1"/>
  <c r="U21" i="258" a="1"/>
  <c r="U21" i="258" s="1"/>
  <c r="U21" i="249" a="1"/>
  <c r="U21" i="249" s="1"/>
  <c r="W21" i="250" a="1"/>
  <c r="W21" i="250" s="1"/>
  <c r="Y21" i="258" a="1"/>
  <c r="Y21" i="258" s="1"/>
  <c r="Y21" i="254" a="1"/>
  <c r="Y21" i="254" s="1"/>
  <c r="Y21" i="249" a="1"/>
  <c r="Y21" i="249" s="1"/>
  <c r="Y21" i="252" a="1"/>
  <c r="Y21" i="252" s="1"/>
  <c r="Z21" i="257" a="1"/>
  <c r="Z21" i="257" s="1"/>
  <c r="AA21" i="258" a="1"/>
  <c r="AA21" i="258" s="1"/>
  <c r="Z21" i="253" a="1"/>
  <c r="Z21" i="253" s="1"/>
  <c r="Z21" i="256" a="1"/>
  <c r="Z21" i="256" s="1"/>
  <c r="Z21" i="254" a="1"/>
  <c r="Z21" i="254" s="1"/>
  <c r="Z21" i="258" a="1"/>
  <c r="Z21" i="258" s="1"/>
  <c r="Z21" i="248" a="1"/>
  <c r="Z21" i="248" s="1"/>
  <c r="AA21" i="254" a="1"/>
  <c r="AA21" i="254" s="1"/>
  <c r="AA21" i="250" a="1"/>
  <c r="AA21" i="250" s="1"/>
  <c r="AA21" i="252" a="1"/>
  <c r="AA21" i="252" s="1"/>
  <c r="AB21" i="248" a="1"/>
  <c r="AB21" i="248" s="1"/>
  <c r="AB21" i="254" a="1"/>
  <c r="AB21" i="254" s="1"/>
  <c r="AC21" i="251" a="1"/>
  <c r="AC21" i="251" s="1"/>
  <c r="AD21" i="254" a="1"/>
  <c r="AD21" i="254" s="1"/>
  <c r="AD21" i="248" a="1"/>
  <c r="AD21" i="248" s="1"/>
  <c r="AE21" i="248" a="1"/>
  <c r="AE21" i="248" s="1"/>
  <c r="AE21" i="257" a="1"/>
  <c r="AE21" i="257" s="1"/>
  <c r="AF21" i="250" a="1"/>
  <c r="AF21" i="250" s="1"/>
  <c r="AF21" i="249" a="1"/>
  <c r="AF21" i="249" s="1"/>
  <c r="AF21" i="248" a="1"/>
  <c r="AF21" i="248" s="1"/>
  <c r="AG21" i="257" a="1"/>
  <c r="AG21" i="257" s="1"/>
  <c r="AG21" i="249" a="1"/>
  <c r="AG21" i="249" s="1"/>
  <c r="AG21" i="250" a="1"/>
  <c r="AG21" i="250" s="1"/>
  <c r="AG21" i="248" a="1"/>
  <c r="AG21" i="248" s="1"/>
  <c r="AH21" i="251" a="1"/>
  <c r="AH21" i="251" s="1"/>
  <c r="AI21" i="257" a="1"/>
  <c r="AI21" i="257" s="1"/>
  <c r="AJ21" i="253" a="1"/>
  <c r="AJ21" i="253" s="1"/>
  <c r="BH12" i="141" a="1"/>
  <c r="BH12" i="141" s="1"/>
  <c r="X375" i="143"/>
  <c r="Z375" i="143"/>
  <c r="BF18" i="141"/>
  <c r="BF19" i="141" s="1"/>
  <c r="BF20" i="141" s="1"/>
  <c r="R374" i="143"/>
  <c r="Y374" i="143" s="1"/>
  <c r="AB374" i="143" s="1"/>
  <c r="AC374" i="143" s="1"/>
  <c r="G12" i="141" a="1"/>
  <c r="G12" i="141" s="1"/>
  <c r="F12" i="141" a="1"/>
  <c r="F12" i="141" s="1"/>
  <c r="BG12" i="141" a="1"/>
  <c r="BG12" i="141" s="1"/>
  <c r="AJ29" i="248" l="1"/>
  <c r="AJ32" i="248"/>
  <c r="AA29" i="258"/>
  <c r="AA32" i="258"/>
  <c r="AE29" i="257"/>
  <c r="AE32" i="257"/>
  <c r="Z29" i="257"/>
  <c r="Z32" i="257"/>
  <c r="O29" i="252"/>
  <c r="O32" i="252"/>
  <c r="AM21" i="252"/>
  <c r="Q171" i="145" s="1"/>
  <c r="AL21" i="252" a="1"/>
  <c r="AL21" i="252" s="1"/>
  <c r="Q172" i="145" s="1"/>
  <c r="V14" i="139" s="1"/>
  <c r="AF29" i="250"/>
  <c r="AF32" i="250"/>
  <c r="P29" i="251"/>
  <c r="P32" i="251"/>
  <c r="AE29" i="248"/>
  <c r="AE32" i="248"/>
  <c r="Y29" i="252"/>
  <c r="Y32" i="252"/>
  <c r="L29" i="253"/>
  <c r="L32" i="253"/>
  <c r="Y29" i="249"/>
  <c r="Y32" i="249"/>
  <c r="K29" i="248"/>
  <c r="K32" i="248"/>
  <c r="AD29" i="248"/>
  <c r="AD32" i="248"/>
  <c r="AD29" i="254"/>
  <c r="AD32" i="254"/>
  <c r="Y29" i="254"/>
  <c r="Y32" i="254"/>
  <c r="K29" i="256"/>
  <c r="K32" i="256"/>
  <c r="G18" i="141" a="1"/>
  <c r="G18" i="141" s="1"/>
  <c r="G19" i="141" s="1"/>
  <c r="G20" i="141" s="1"/>
  <c r="AA375" i="143"/>
  <c r="AB375" i="143" s="1"/>
  <c r="AC375" i="143" s="1"/>
  <c r="AC29" i="251"/>
  <c r="AC32" i="251"/>
  <c r="Y29" i="258"/>
  <c r="Y32" i="258"/>
  <c r="J29" i="249"/>
  <c r="J32" i="249"/>
  <c r="AL21" i="249" a="1"/>
  <c r="AL21" i="249" s="1"/>
  <c r="T172" i="145" s="1"/>
  <c r="AB14" i="139" s="1"/>
  <c r="AM21" i="249"/>
  <c r="T171" i="145" s="1"/>
  <c r="AB29" i="254"/>
  <c r="AB32" i="254"/>
  <c r="W29" i="250"/>
  <c r="W32" i="250"/>
  <c r="J29" i="255"/>
  <c r="J32" i="255"/>
  <c r="AM21" i="255"/>
  <c r="N171" i="145" s="1"/>
  <c r="AL21" i="255" a="1"/>
  <c r="AL21" i="255" s="1"/>
  <c r="N172" i="145" s="1"/>
  <c r="P14" i="139" s="1"/>
  <c r="AJ29" i="253"/>
  <c r="AJ32" i="253"/>
  <c r="AB29" i="248"/>
  <c r="AB32" i="248"/>
  <c r="U29" i="249"/>
  <c r="U32" i="249"/>
  <c r="J29" i="248"/>
  <c r="J32" i="248"/>
  <c r="AM21" i="248"/>
  <c r="U171" i="145" s="1"/>
  <c r="AL21" i="248" a="1"/>
  <c r="AL21" i="248" s="1"/>
  <c r="U172" i="145" s="1"/>
  <c r="AD14" i="139" s="1"/>
  <c r="AI29" i="257"/>
  <c r="AI32" i="257"/>
  <c r="AA29" i="252"/>
  <c r="AA32" i="252"/>
  <c r="U29" i="258"/>
  <c r="U32" i="258"/>
  <c r="AL21" i="258" a="1"/>
  <c r="AL21" i="258" s="1"/>
  <c r="K172" i="145" s="1"/>
  <c r="J14" i="139" s="1"/>
  <c r="AM21" i="258"/>
  <c r="K171" i="145" s="1"/>
  <c r="K29" i="257"/>
  <c r="K32" i="257"/>
  <c r="AH29" i="251"/>
  <c r="AH32" i="251"/>
  <c r="AA29" i="250"/>
  <c r="AA32" i="250"/>
  <c r="U29" i="251"/>
  <c r="U32" i="251"/>
  <c r="J29" i="257"/>
  <c r="J32" i="257"/>
  <c r="AM21" i="257"/>
  <c r="L171" i="145" s="1"/>
  <c r="AL21" i="257" a="1"/>
  <c r="AL21" i="257" s="1"/>
  <c r="L172" i="145" s="1"/>
  <c r="L14" i="139" s="1"/>
  <c r="U29" i="255"/>
  <c r="U32" i="255"/>
  <c r="K29" i="254"/>
  <c r="K32" i="254"/>
  <c r="AA29" i="254"/>
  <c r="AA32" i="254"/>
  <c r="AG29" i="250"/>
  <c r="AG32" i="250"/>
  <c r="Z29" i="248"/>
  <c r="Z32" i="248"/>
  <c r="V29" i="251"/>
  <c r="V32" i="251"/>
  <c r="J29" i="254"/>
  <c r="J32" i="254"/>
  <c r="AM21" i="254"/>
  <c r="O171" i="145" s="1"/>
  <c r="AL21" i="254" a="1"/>
  <c r="AL21" i="254" s="1"/>
  <c r="O172" i="145" s="1"/>
  <c r="R14" i="139" s="1"/>
  <c r="AG29" i="248"/>
  <c r="AG32" i="248"/>
  <c r="AG29" i="249"/>
  <c r="AG32" i="249"/>
  <c r="Z29" i="258"/>
  <c r="Z32" i="258"/>
  <c r="T29" i="257"/>
  <c r="T32" i="257"/>
  <c r="J29" i="253"/>
  <c r="J32" i="253"/>
  <c r="AL21" i="253" a="1"/>
  <c r="AL21" i="253" s="1"/>
  <c r="P172" i="145" s="1"/>
  <c r="T14" i="139" s="1"/>
  <c r="AM21" i="253"/>
  <c r="P171" i="145" s="1"/>
  <c r="AG29" i="257"/>
  <c r="AG32" i="257"/>
  <c r="Z29" i="254"/>
  <c r="Z32" i="254"/>
  <c r="P29" i="253"/>
  <c r="P32" i="253"/>
  <c r="J29" i="251"/>
  <c r="J32" i="251"/>
  <c r="AM21" i="251"/>
  <c r="R171" i="145" s="1"/>
  <c r="AL21" i="251" a="1"/>
  <c r="AL21" i="251" s="1"/>
  <c r="R172" i="145" s="1"/>
  <c r="X14" i="139" s="1"/>
  <c r="AF29" i="248"/>
  <c r="AF32" i="248"/>
  <c r="Z29" i="256"/>
  <c r="Z32" i="256"/>
  <c r="P29" i="250"/>
  <c r="P32" i="250"/>
  <c r="AM21" i="250"/>
  <c r="S171" i="145" s="1"/>
  <c r="AL21" i="250" a="1"/>
  <c r="AL21" i="250" s="1"/>
  <c r="S172" i="145" s="1"/>
  <c r="Z14" i="139" s="1"/>
  <c r="J29" i="256"/>
  <c r="J32" i="256"/>
  <c r="AM21" i="256"/>
  <c r="M171" i="145" s="1"/>
  <c r="AL21" i="256" a="1"/>
  <c r="AL21" i="256" s="1"/>
  <c r="M172" i="145" s="1"/>
  <c r="N14" i="139" s="1"/>
  <c r="AF29" i="249"/>
  <c r="AF32" i="249"/>
  <c r="Z29" i="253"/>
  <c r="Z32" i="253"/>
  <c r="O29" i="255"/>
  <c r="O32" i="255"/>
  <c r="H14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F27" i="254" l="1" a="1"/>
  <c r="F27" i="254" s="1"/>
  <c r="F30" i="254" s="1" a="1"/>
  <c r="F30" i="254" s="1"/>
  <c r="G27" i="257" a="1"/>
  <c r="G27" i="257" s="1"/>
  <c r="G30" i="257" s="1" a="1"/>
  <c r="G30" i="257" s="1"/>
  <c r="G27" i="249" a="1"/>
  <c r="G27" i="249" s="1"/>
  <c r="G30" i="249" s="1" a="1"/>
  <c r="G30" i="249" s="1"/>
  <c r="H27" i="258" a="1"/>
  <c r="H27" i="258" s="1"/>
  <c r="H30" i="258" s="1" a="1"/>
  <c r="H30" i="258" s="1"/>
  <c r="H27" i="252" a="1"/>
  <c r="H27" i="252" s="1"/>
  <c r="H30" i="252" s="1" a="1"/>
  <c r="H30" i="252" s="1"/>
  <c r="J27" i="250" a="1"/>
  <c r="J27" i="250" s="1"/>
  <c r="J30" i="250" s="1" a="1"/>
  <c r="J30" i="250" s="1"/>
  <c r="I27" i="255" a="1"/>
  <c r="I27" i="255" s="1"/>
  <c r="I30" i="255" s="1" a="1"/>
  <c r="I30" i="255" s="1"/>
  <c r="L27" i="248" a="1"/>
  <c r="L27" i="248" s="1"/>
  <c r="L30" i="248" s="1" a="1"/>
  <c r="L30" i="248" s="1"/>
  <c r="N27" i="257" a="1"/>
  <c r="N27" i="257" s="1"/>
  <c r="N30" i="257" s="1" a="1"/>
  <c r="N30" i="257" s="1"/>
  <c r="L27" i="251" a="1"/>
  <c r="L27" i="251" s="1"/>
  <c r="L30" i="251" s="1" a="1"/>
  <c r="L30" i="251" s="1"/>
  <c r="M27" i="254" a="1"/>
  <c r="M27" i="254" s="1"/>
  <c r="M30" i="254" s="1" a="1"/>
  <c r="M30" i="254" s="1"/>
  <c r="O27" i="252" a="1"/>
  <c r="O27" i="252" s="1"/>
  <c r="O30" i="252" s="1" a="1"/>
  <c r="O30" i="252" s="1"/>
  <c r="O27" i="258" a="1"/>
  <c r="O27" i="258" s="1"/>
  <c r="O30" i="258" s="1" a="1"/>
  <c r="O30" i="258" s="1"/>
  <c r="N27" i="249" a="1"/>
  <c r="N27" i="249" s="1"/>
  <c r="N30" i="249" s="1" a="1"/>
  <c r="N30" i="249" s="1"/>
  <c r="Q27" i="250" a="1"/>
  <c r="Q27" i="250" s="1"/>
  <c r="Q30" i="250" s="1" a="1"/>
  <c r="Q30" i="250" s="1"/>
  <c r="P27" i="255" a="1"/>
  <c r="P27" i="255" s="1"/>
  <c r="P30" i="255" s="1" a="1"/>
  <c r="P30" i="255" s="1"/>
  <c r="S27" i="248" a="1"/>
  <c r="S27" i="248" s="1"/>
  <c r="S30" i="248" s="1" a="1"/>
  <c r="S30" i="248" s="1"/>
  <c r="S27" i="251" a="1"/>
  <c r="S27" i="251" s="1"/>
  <c r="S30" i="251" s="1" a="1"/>
  <c r="S30" i="251" s="1"/>
  <c r="T27" i="254" a="1"/>
  <c r="T27" i="254" s="1"/>
  <c r="T30" i="254" s="1" a="1"/>
  <c r="T30" i="254" s="1"/>
  <c r="U27" i="257" a="1"/>
  <c r="U27" i="257" s="1"/>
  <c r="U30" i="257" s="1" a="1"/>
  <c r="U30" i="257" s="1"/>
  <c r="U27" i="249" a="1"/>
  <c r="U27" i="249" s="1"/>
  <c r="U30" i="249" s="1" a="1"/>
  <c r="U30" i="249" s="1"/>
  <c r="V27" i="252" a="1"/>
  <c r="V27" i="252" s="1"/>
  <c r="V30" i="252" s="1" a="1"/>
  <c r="V30" i="252" s="1"/>
  <c r="V27" i="258" a="1"/>
  <c r="V27" i="258" s="1"/>
  <c r="V30" i="258" s="1" a="1"/>
  <c r="V30" i="258" s="1"/>
  <c r="X27" i="250" a="1"/>
  <c r="X27" i="250" s="1"/>
  <c r="X30" i="250" s="1" a="1"/>
  <c r="X30" i="250" s="1"/>
  <c r="W27" i="255" a="1"/>
  <c r="W27" i="255" s="1"/>
  <c r="W30" i="255" s="1" a="1"/>
  <c r="W30" i="255" s="1"/>
  <c r="Z27" i="248" a="1"/>
  <c r="Z27" i="248" s="1"/>
  <c r="Z30" i="248" s="1" a="1"/>
  <c r="Z30" i="248" s="1"/>
  <c r="Z27" i="251" a="1"/>
  <c r="Z27" i="251" s="1"/>
  <c r="Z30" i="251" s="1" a="1"/>
  <c r="Z30" i="251" s="1"/>
  <c r="AB27" i="257" a="1"/>
  <c r="AB27" i="257" s="1"/>
  <c r="AB30" i="257" s="1" a="1"/>
  <c r="AB30" i="257" s="1"/>
  <c r="AA27" i="254" a="1"/>
  <c r="AA27" i="254" s="1"/>
  <c r="AA30" i="254" s="1" a="1"/>
  <c r="AA30" i="254" s="1"/>
  <c r="AC27" i="258" a="1"/>
  <c r="AC27" i="258" s="1"/>
  <c r="AC30" i="258" s="1" a="1"/>
  <c r="AC30" i="258" s="1"/>
  <c r="AB27" i="249" a="1"/>
  <c r="AB27" i="249" s="1"/>
  <c r="AB30" i="249" s="1" a="1"/>
  <c r="AB30" i="249" s="1"/>
  <c r="AE27" i="250" a="1"/>
  <c r="AE27" i="250" s="1"/>
  <c r="AE30" i="250" s="1" a="1"/>
  <c r="AE30" i="250" s="1"/>
  <c r="AC27" i="252" a="1"/>
  <c r="AC27" i="252" s="1"/>
  <c r="AC30" i="252" s="1" a="1"/>
  <c r="AC30" i="252" s="1"/>
  <c r="AD27" i="255" a="1"/>
  <c r="AD27" i="255" s="1"/>
  <c r="AD30" i="255" s="1" a="1"/>
  <c r="AD30" i="255" s="1"/>
  <c r="AG27" i="248" a="1"/>
  <c r="AG27" i="248" s="1"/>
  <c r="AG30" i="248" s="1" a="1"/>
  <c r="AG30" i="248" s="1"/>
  <c r="AH27" i="254" a="1"/>
  <c r="AH27" i="254" s="1"/>
  <c r="AH30" i="254" s="1" a="1"/>
  <c r="AH30" i="254" s="1"/>
  <c r="AG27" i="251" a="1"/>
  <c r="AG27" i="251" s="1"/>
  <c r="AG30" i="251" s="1" a="1"/>
  <c r="AG30" i="251" s="1"/>
  <c r="AI27" i="257" a="1"/>
  <c r="AI27" i="257" s="1"/>
  <c r="AI30" i="257" s="1" a="1"/>
  <c r="AI30" i="257" s="1"/>
  <c r="AJ27" i="248" a="1"/>
  <c r="AJ27" i="248" s="1"/>
  <c r="AJ30" i="248" s="1" a="1"/>
  <c r="AJ30" i="248" s="1"/>
  <c r="AI27" i="249" a="1"/>
  <c r="AI27" i="249" s="1"/>
  <c r="AI30" i="249" s="1" a="1"/>
  <c r="AI30" i="249" s="1"/>
  <c r="AJ27" i="252" a="1"/>
  <c r="AJ27" i="252" s="1"/>
  <c r="AJ30" i="252" s="1" a="1"/>
  <c r="AJ30" i="252" s="1"/>
  <c r="AL32" i="254"/>
  <c r="O125" i="145" s="1"/>
  <c r="R12" i="139" s="1"/>
  <c r="AL32" i="252"/>
  <c r="Q125" i="145" s="1"/>
  <c r="V12" i="139" s="1"/>
  <c r="AL29" i="256"/>
  <c r="M121" i="145" s="1"/>
  <c r="M92" i="145" s="1"/>
  <c r="AL29" i="255"/>
  <c r="N121" i="145" s="1"/>
  <c r="N92" i="145" s="1"/>
  <c r="AL32" i="257"/>
  <c r="L125" i="145" s="1"/>
  <c r="L12" i="139" s="1"/>
  <c r="AL29" i="257"/>
  <c r="L121" i="145" s="1"/>
  <c r="L92" i="145" s="1"/>
  <c r="AL32" i="251"/>
  <c r="R125" i="145" s="1"/>
  <c r="X12" i="139" s="1"/>
  <c r="AL29" i="258"/>
  <c r="K121" i="145" s="1"/>
  <c r="K92" i="145" s="1"/>
  <c r="AL29" i="254"/>
  <c r="O121" i="145" s="1"/>
  <c r="O92" i="145" s="1"/>
  <c r="AL32" i="250"/>
  <c r="S125" i="145" s="1"/>
  <c r="AL29" i="250"/>
  <c r="S121" i="145" s="1"/>
  <c r="S92" i="145" s="1"/>
  <c r="AL32" i="249"/>
  <c r="T125" i="145" s="1"/>
  <c r="AB12" i="139" s="1"/>
  <c r="K27" i="250" a="1"/>
  <c r="K27" i="250" s="1"/>
  <c r="K30" i="250" s="1" a="1"/>
  <c r="K30" i="250" s="1"/>
  <c r="K27" i="248" a="1"/>
  <c r="K27" i="248" s="1"/>
  <c r="K30" i="248" s="1" a="1"/>
  <c r="K30" i="248" s="1"/>
  <c r="K27" i="258" a="1"/>
  <c r="K27" i="258" s="1"/>
  <c r="K30" i="258" s="1" a="1"/>
  <c r="K30" i="258" s="1"/>
  <c r="K27" i="257" a="1"/>
  <c r="K27" i="257" s="1"/>
  <c r="K30" i="257" s="1" a="1"/>
  <c r="K30" i="257" s="1"/>
  <c r="K27" i="254" a="1"/>
  <c r="K27" i="254" s="1"/>
  <c r="K30" i="254" s="1" a="1"/>
  <c r="K30" i="254" s="1"/>
  <c r="K27" i="253" a="1"/>
  <c r="K27" i="253" s="1"/>
  <c r="K30" i="253" s="1" a="1"/>
  <c r="K30" i="253" s="1"/>
  <c r="K27" i="256" a="1"/>
  <c r="K27" i="256" s="1"/>
  <c r="K30" i="256" s="1" a="1"/>
  <c r="K30" i="256" s="1"/>
  <c r="K27" i="251" a="1"/>
  <c r="K27" i="251" s="1"/>
  <c r="K30" i="251" s="1" a="1"/>
  <c r="K30" i="251" s="1"/>
  <c r="K27" i="249" a="1"/>
  <c r="K27" i="249" s="1"/>
  <c r="K30" i="249" s="1" a="1"/>
  <c r="K30" i="249" s="1"/>
  <c r="K27" i="255" a="1"/>
  <c r="K27" i="255" s="1"/>
  <c r="K30" i="255" s="1" a="1"/>
  <c r="K30" i="255" s="1"/>
  <c r="K27" i="252" a="1"/>
  <c r="K27" i="252" s="1"/>
  <c r="K30" i="252" s="1" a="1"/>
  <c r="K30" i="252" s="1"/>
  <c r="R27" i="250" a="1"/>
  <c r="R27" i="250" s="1"/>
  <c r="R30" i="250" s="1" a="1"/>
  <c r="R30" i="250" s="1"/>
  <c r="R27" i="248" a="1"/>
  <c r="R27" i="248" s="1"/>
  <c r="R30" i="248" s="1" a="1"/>
  <c r="R30" i="248" s="1"/>
  <c r="R27" i="257" a="1"/>
  <c r="R27" i="257" s="1"/>
  <c r="R30" i="257" s="1" a="1"/>
  <c r="R30" i="257" s="1"/>
  <c r="R27" i="258" a="1"/>
  <c r="R27" i="258" s="1"/>
  <c r="R30" i="258" s="1" a="1"/>
  <c r="R30" i="258" s="1"/>
  <c r="R27" i="253" a="1"/>
  <c r="R27" i="253" s="1"/>
  <c r="R30" i="253" s="1" a="1"/>
  <c r="R30" i="253" s="1"/>
  <c r="R27" i="254" a="1"/>
  <c r="R27" i="254" s="1"/>
  <c r="R30" i="254" s="1" a="1"/>
  <c r="R30" i="254" s="1"/>
  <c r="R27" i="251" a="1"/>
  <c r="R27" i="251" s="1"/>
  <c r="R30" i="251" s="1" a="1"/>
  <c r="R30" i="251" s="1"/>
  <c r="R27" i="256" a="1"/>
  <c r="R27" i="256" s="1"/>
  <c r="R30" i="256" s="1" a="1"/>
  <c r="R30" i="256" s="1"/>
  <c r="R27" i="255" a="1"/>
  <c r="R27" i="255" s="1"/>
  <c r="R30" i="255" s="1" a="1"/>
  <c r="R30" i="255" s="1"/>
  <c r="Y27" i="250" a="1"/>
  <c r="Y27" i="250" s="1"/>
  <c r="Y30" i="250" s="1" a="1"/>
  <c r="Y30" i="250" s="1"/>
  <c r="R27" i="249" a="1"/>
  <c r="R27" i="249" s="1"/>
  <c r="R30" i="249" s="1" a="1"/>
  <c r="R30" i="249" s="1"/>
  <c r="R27" i="252" a="1"/>
  <c r="R27" i="252" s="1"/>
  <c r="R30" i="252" s="1" a="1"/>
  <c r="R30" i="252" s="1"/>
  <c r="Y27" i="248" a="1"/>
  <c r="Y27" i="248" s="1"/>
  <c r="Y30" i="248" s="1" a="1"/>
  <c r="Y30" i="248" s="1"/>
  <c r="Y27" i="257" a="1"/>
  <c r="Y27" i="257" s="1"/>
  <c r="Y30" i="257" s="1" a="1"/>
  <c r="Y30" i="257" s="1"/>
  <c r="Y27" i="258" a="1"/>
  <c r="Y27" i="258" s="1"/>
  <c r="Y30" i="258" s="1" a="1"/>
  <c r="Y30" i="258" s="1"/>
  <c r="Y27" i="254" a="1"/>
  <c r="Y27" i="254" s="1"/>
  <c r="Y30" i="254" s="1" a="1"/>
  <c r="Y30" i="254" s="1"/>
  <c r="Y27" i="256" a="1"/>
  <c r="Y27" i="256" s="1"/>
  <c r="Y30" i="256" s="1" a="1"/>
  <c r="Y30" i="256" s="1"/>
  <c r="Y27" i="253" a="1"/>
  <c r="Y27" i="253" s="1"/>
  <c r="Y30" i="253" s="1" a="1"/>
  <c r="Y30" i="253" s="1"/>
  <c r="Y27" i="251" a="1"/>
  <c r="Y27" i="251" s="1"/>
  <c r="Y30" i="251" s="1" a="1"/>
  <c r="Y30" i="251" s="1"/>
  <c r="Y27" i="255" a="1"/>
  <c r="Y27" i="255" s="1"/>
  <c r="Y30" i="255" s="1" a="1"/>
  <c r="Y30" i="255" s="1"/>
  <c r="Y27" i="252" a="1"/>
  <c r="Y27" i="252" s="1"/>
  <c r="Y30" i="252" s="1" a="1"/>
  <c r="Y30" i="252" s="1"/>
  <c r="AF27" i="250" a="1"/>
  <c r="AF27" i="250" s="1"/>
  <c r="AF30" i="250" s="1" a="1"/>
  <c r="AF30" i="250" s="1"/>
  <c r="Y27" i="249" a="1"/>
  <c r="Y27" i="249" s="1"/>
  <c r="Y30" i="249" s="1" a="1"/>
  <c r="Y30" i="249" s="1"/>
  <c r="AF27" i="248" a="1"/>
  <c r="AF27" i="248" s="1"/>
  <c r="AF30" i="248" s="1" a="1"/>
  <c r="AF30" i="248" s="1"/>
  <c r="AF27" i="257" a="1"/>
  <c r="AF27" i="257" s="1"/>
  <c r="AF30" i="257" s="1" a="1"/>
  <c r="AF30" i="257" s="1"/>
  <c r="AF27" i="258" a="1"/>
  <c r="AF27" i="258" s="1"/>
  <c r="AF30" i="258" s="1" a="1"/>
  <c r="AF30" i="258" s="1"/>
  <c r="AF27" i="253" a="1"/>
  <c r="AF27" i="253" s="1"/>
  <c r="AF30" i="253" s="1" a="1"/>
  <c r="AF30" i="253" s="1"/>
  <c r="AF27" i="254" a="1"/>
  <c r="AF27" i="254" s="1"/>
  <c r="AF30" i="254" s="1" a="1"/>
  <c r="AF30" i="254" s="1"/>
  <c r="AF27" i="251" a="1"/>
  <c r="AF27" i="251" s="1"/>
  <c r="AF30" i="251" s="1" a="1"/>
  <c r="AF30" i="251" s="1"/>
  <c r="AF27" i="255" a="1"/>
  <c r="AF27" i="255" s="1"/>
  <c r="AF30" i="255" s="1" a="1"/>
  <c r="AF30" i="255" s="1"/>
  <c r="AF27" i="256" a="1"/>
  <c r="AF27" i="256" s="1"/>
  <c r="AF30" i="256" s="1" a="1"/>
  <c r="AF30" i="256" s="1"/>
  <c r="AF27" i="252" a="1"/>
  <c r="AF27" i="252" s="1"/>
  <c r="AF30" i="252" s="1" a="1"/>
  <c r="AF30" i="252" s="1"/>
  <c r="AF27" i="249" a="1"/>
  <c r="AF27" i="249" s="1"/>
  <c r="AF30" i="249" s="1" a="1"/>
  <c r="AF30" i="249" s="1"/>
  <c r="AL29" i="249"/>
  <c r="T121" i="145" s="1"/>
  <c r="T92" i="145" s="1"/>
  <c r="AL29" i="252"/>
  <c r="Q121" i="145" s="1"/>
  <c r="Q92" i="145" s="1"/>
  <c r="AL29" i="248"/>
  <c r="U121" i="145" s="1"/>
  <c r="U92" i="145" s="1"/>
  <c r="AL32" i="253"/>
  <c r="P125" i="145" s="1"/>
  <c r="T12" i="139" s="1"/>
  <c r="AL32" i="248"/>
  <c r="U125" i="145" s="1"/>
  <c r="AL29" i="251"/>
  <c r="R121" i="145" s="1"/>
  <c r="R92" i="145" s="1"/>
  <c r="AL29" i="253"/>
  <c r="P121" i="145" s="1"/>
  <c r="P92" i="145" s="1"/>
  <c r="AL32" i="258"/>
  <c r="K125" i="145" s="1"/>
  <c r="J12" i="139" s="1"/>
  <c r="AL32" i="256"/>
  <c r="M125" i="145" s="1"/>
  <c r="N12" i="139" s="1"/>
  <c r="AL32" i="255"/>
  <c r="N125" i="145" s="1"/>
  <c r="P12" i="139" s="1"/>
  <c r="F27" i="135" a="1"/>
  <c r="F27" i="135" s="1"/>
  <c r="F30" i="135" s="1" a="1"/>
  <c r="F30" i="135" s="1"/>
  <c r="M27" i="135" a="1"/>
  <c r="M27" i="135" s="1"/>
  <c r="M30" i="135" s="1" a="1"/>
  <c r="M30" i="135" s="1"/>
  <c r="T27" i="135" a="1"/>
  <c r="T27" i="135" s="1"/>
  <c r="T30" i="135" s="1" a="1"/>
  <c r="T30" i="135" s="1"/>
  <c r="AA27" i="135" a="1"/>
  <c r="AA27" i="135" s="1"/>
  <c r="AA30" i="135" s="1" a="1"/>
  <c r="AA30" i="135" s="1"/>
  <c r="AH27" i="135" a="1"/>
  <c r="AH27" i="135" s="1"/>
  <c r="AH30" i="135" s="1" a="1"/>
  <c r="AH30" i="135" s="1"/>
  <c r="G27" i="135" a="1"/>
  <c r="G27" i="135" s="1"/>
  <c r="G30" i="135" s="1" a="1"/>
  <c r="G30" i="135" s="1"/>
  <c r="N27" i="135" a="1"/>
  <c r="N27" i="135" s="1"/>
  <c r="N30" i="135" s="1" a="1"/>
  <c r="N30" i="135" s="1"/>
  <c r="U27" i="135" a="1"/>
  <c r="U27" i="135" s="1"/>
  <c r="U30" i="135" s="1" a="1"/>
  <c r="U30" i="135" s="1"/>
  <c r="AB27" i="135" a="1"/>
  <c r="AB27" i="135" s="1"/>
  <c r="AB30" i="135" s="1" a="1"/>
  <c r="AB30" i="135" s="1"/>
  <c r="AI27" i="135" a="1"/>
  <c r="AI27" i="135" s="1"/>
  <c r="AI30" i="135" s="1" a="1"/>
  <c r="AI30" i="135" s="1"/>
  <c r="AD12" i="139"/>
  <c r="Z12" i="139"/>
  <c r="V171" i="145"/>
  <c r="D14" i="139" s="1"/>
  <c r="H27" i="135" a="1"/>
  <c r="H27" i="135" s="1"/>
  <c r="H30" i="135" s="1" a="1"/>
  <c r="H30" i="135" s="1"/>
  <c r="O27" i="135" a="1"/>
  <c r="O27" i="135" s="1"/>
  <c r="O30" i="135" s="1" a="1"/>
  <c r="O30" i="135" s="1"/>
  <c r="V27" i="135" a="1"/>
  <c r="V27" i="135" s="1"/>
  <c r="V30" i="135" s="1" a="1"/>
  <c r="V30" i="135" s="1"/>
  <c r="AC27" i="135" a="1"/>
  <c r="AC27" i="135" s="1"/>
  <c r="AC30" i="135" s="1" a="1"/>
  <c r="AC30" i="135" s="1"/>
  <c r="K27" i="135" a="1"/>
  <c r="K27" i="135" s="1"/>
  <c r="R27" i="135" a="1"/>
  <c r="R27" i="135" s="1"/>
  <c r="R30" i="135" s="1" a="1"/>
  <c r="R30" i="135" s="1"/>
  <c r="Y27" i="135" a="1"/>
  <c r="Y27" i="135" s="1"/>
  <c r="Y30" i="135" s="1" a="1"/>
  <c r="Y30" i="135" s="1"/>
  <c r="AF27" i="135" a="1"/>
  <c r="AF27" i="135" s="1"/>
  <c r="AF30" i="135" s="1" a="1"/>
  <c r="AF30" i="135" s="1"/>
  <c r="V172" i="145"/>
  <c r="AF14" i="139" s="1"/>
  <c r="L27" i="135" a="1"/>
  <c r="L27" i="135" s="1"/>
  <c r="S27" i="135" a="1"/>
  <c r="S27" i="135" s="1"/>
  <c r="Z27" i="135" a="1"/>
  <c r="Z27" i="135" s="1"/>
  <c r="Z30" i="135" s="1" a="1"/>
  <c r="Z30" i="135" s="1"/>
  <c r="AG27" i="135" a="1"/>
  <c r="AG27" i="135" s="1"/>
  <c r="AG30" i="135" s="1" a="1"/>
  <c r="AG30" i="135" s="1"/>
  <c r="I27" i="135" a="1"/>
  <c r="I27" i="135" s="1"/>
  <c r="I30" i="135" s="1" a="1"/>
  <c r="I30" i="135" s="1"/>
  <c r="P27" i="135" a="1"/>
  <c r="P27" i="135" s="1"/>
  <c r="P30" i="135" s="1" a="1"/>
  <c r="P30" i="135" s="1"/>
  <c r="W27" i="135" a="1"/>
  <c r="W27" i="135" s="1"/>
  <c r="W30" i="135" s="1" a="1"/>
  <c r="W30" i="135" s="1"/>
  <c r="AD27" i="135" a="1"/>
  <c r="AD27" i="135" s="1"/>
  <c r="AD30" i="135" s="1" a="1"/>
  <c r="AD30" i="135" s="1"/>
  <c r="F19" i="141"/>
  <c r="BI19" i="141" s="1"/>
  <c r="BI18" i="141"/>
  <c r="BI13" i="141"/>
  <c r="AL30" i="253" l="1"/>
  <c r="P122" i="145" s="1"/>
  <c r="AL30" i="255"/>
  <c r="N122" i="145" s="1"/>
  <c r="AL30" i="257"/>
  <c r="L122" i="145" s="1"/>
  <c r="AL30" i="252"/>
  <c r="Q122" i="145" s="1"/>
  <c r="AL30" i="248"/>
  <c r="U122" i="145" s="1"/>
  <c r="AL30" i="250"/>
  <c r="S122" i="145" s="1"/>
  <c r="AL30" i="251"/>
  <c r="R122" i="145" s="1"/>
  <c r="AL30" i="258"/>
  <c r="K122" i="145" s="1"/>
  <c r="AL30" i="254"/>
  <c r="O122" i="145" s="1"/>
  <c r="AL30" i="249"/>
  <c r="T122" i="145" s="1"/>
  <c r="AL30" i="256"/>
  <c r="M122" i="145" s="1"/>
  <c r="V121" i="145"/>
  <c r="V125" i="145"/>
  <c r="L30" i="135" a="1"/>
  <c r="L30" i="135" s="1"/>
  <c r="F20" i="141"/>
  <c r="BI20" i="141" s="1"/>
  <c r="AF12" i="139"/>
  <c r="Q126" i="145" l="1"/>
  <c r="Q91" i="145" s="1"/>
  <c r="Q96" i="145" s="1"/>
  <c r="R126" i="145"/>
  <c r="R91" i="145" s="1"/>
  <c r="R96" i="145" s="1"/>
  <c r="S126" i="145"/>
  <c r="S91" i="145" s="1"/>
  <c r="S96" i="145" s="1"/>
  <c r="T126" i="145"/>
  <c r="T91" i="145" s="1"/>
  <c r="T96" i="145" s="1"/>
  <c r="U126" i="145"/>
  <c r="U91" i="145" s="1"/>
  <c r="U96" i="145" s="1"/>
  <c r="K30" i="135" a="1"/>
  <c r="K30" i="135" s="1"/>
  <c r="K126" i="145"/>
  <c r="K91" i="145" s="1"/>
  <c r="L126" i="145"/>
  <c r="L91" i="145" s="1"/>
  <c r="L96" i="145" s="1"/>
  <c r="S30" i="135" a="1"/>
  <c r="S30" i="135" s="1"/>
  <c r="P11" i="139"/>
  <c r="P37" i="139" s="1"/>
  <c r="P38" i="139" s="1"/>
  <c r="L11" i="139"/>
  <c r="L37" i="139" s="1"/>
  <c r="N126" i="145"/>
  <c r="N91" i="145" s="1"/>
  <c r="N96" i="145" s="1"/>
  <c r="N11" i="139"/>
  <c r="N37" i="139" s="1"/>
  <c r="M126" i="145"/>
  <c r="M91" i="145" s="1"/>
  <c r="M96" i="145" s="1"/>
  <c r="T11" i="139"/>
  <c r="T37" i="139" s="1"/>
  <c r="P126" i="145"/>
  <c r="P91" i="145" s="1"/>
  <c r="P96" i="145" s="1"/>
  <c r="R11" i="139"/>
  <c r="R37" i="139" s="1"/>
  <c r="O126" i="145"/>
  <c r="O91" i="145" s="1"/>
  <c r="O96" i="145" s="1"/>
  <c r="V11" i="139" l="1"/>
  <c r="V37" i="139" s="1"/>
  <c r="V38" i="139" s="1"/>
  <c r="X11" i="139"/>
  <c r="X37" i="139" s="1"/>
  <c r="X38" i="139" s="1"/>
  <c r="Z11" i="139"/>
  <c r="Z37" i="139" s="1"/>
  <c r="Z38" i="139" s="1"/>
  <c r="AB11" i="139"/>
  <c r="AB37" i="139" s="1"/>
  <c r="AB38" i="139" s="1"/>
  <c r="AD11" i="139"/>
  <c r="AD37" i="139" s="1"/>
  <c r="AD38" i="139" s="1"/>
  <c r="K96" i="145"/>
  <c r="AL30" i="135"/>
  <c r="J122" i="145" s="1"/>
  <c r="V122" i="145" s="1"/>
  <c r="J11" i="139"/>
  <c r="T38" i="139"/>
  <c r="N38" i="139"/>
  <c r="L38" i="139"/>
  <c r="R38" i="139"/>
  <c r="H11" i="139" l="1"/>
  <c r="H37" i="139" s="1"/>
  <c r="H38" i="139" s="1"/>
  <c r="J126" i="145"/>
  <c r="J91" i="145" s="1"/>
  <c r="J96" i="145" s="1"/>
  <c r="J37" i="139"/>
  <c r="J12" i="258" l="1" a="1"/>
  <c r="J12" i="258" s="1"/>
  <c r="J12" i="256" a="1"/>
  <c r="J12" i="256" s="1"/>
  <c r="J12" i="255" a="1"/>
  <c r="J12" i="255" s="1"/>
  <c r="J12" i="257" a="1"/>
  <c r="J12" i="257" s="1"/>
  <c r="J12" i="254" a="1"/>
  <c r="J12" i="254" s="1"/>
  <c r="J12" i="253" a="1"/>
  <c r="J12" i="253" s="1"/>
  <c r="J12" i="252" a="1"/>
  <c r="J12" i="252" s="1"/>
  <c r="J12" i="250" a="1"/>
  <c r="J12" i="250" s="1"/>
  <c r="J12" i="249" a="1"/>
  <c r="J12" i="249" s="1"/>
  <c r="J12" i="251" a="1"/>
  <c r="J12" i="251" s="1"/>
  <c r="J12" i="248" a="1"/>
  <c r="J12" i="248" s="1"/>
  <c r="H39" i="139"/>
  <c r="AF11" i="139"/>
  <c r="J97" i="145"/>
  <c r="K97" i="145" s="1"/>
  <c r="L97" i="145" s="1"/>
  <c r="V126" i="145"/>
  <c r="J38" i="139"/>
  <c r="AF38" i="139" s="1"/>
  <c r="AF37" i="139"/>
  <c r="H10" i="257" l="1"/>
  <c r="H10" i="258"/>
  <c r="H10" i="256"/>
  <c r="H10" i="255"/>
  <c r="H10" i="253"/>
  <c r="H10" i="252"/>
  <c r="H10" i="254"/>
  <c r="H10" i="251"/>
  <c r="H10" i="250"/>
  <c r="H10" i="249"/>
  <c r="H10" i="248"/>
  <c r="Z44" i="139"/>
  <c r="M97" i="145"/>
  <c r="N97" i="145" s="1"/>
  <c r="O97" i="145" s="1"/>
  <c r="P97" i="145" s="1"/>
  <c r="Q97" i="145" s="1"/>
  <c r="R97" i="145" s="1"/>
  <c r="S97" i="145" s="1"/>
  <c r="T97" i="145" s="1"/>
  <c r="U97" i="145" s="1"/>
  <c r="J12" i="135" a="1"/>
  <c r="J12" i="135" s="1"/>
  <c r="J39" i="139"/>
  <c r="L39" i="139" s="1"/>
  <c r="N39" i="139" s="1"/>
  <c r="P39" i="139" s="1"/>
  <c r="R39" i="139" s="1"/>
  <c r="T39" i="139" s="1"/>
  <c r="V39" i="139" s="1"/>
  <c r="X39" i="139" s="1"/>
  <c r="Z39" i="139" s="1"/>
  <c r="AB39" i="139" s="1"/>
  <c r="AD39" i="139" s="1"/>
  <c r="H10" i="135"/>
  <c r="T3" i="258" l="1"/>
  <c r="T3" i="256"/>
  <c r="T3" i="255"/>
  <c r="T3" i="254"/>
  <c r="T3" i="257"/>
  <c r="T3" i="252"/>
  <c r="T3" i="253"/>
  <c r="T3" i="251"/>
  <c r="T3" i="250"/>
  <c r="T3" i="249"/>
  <c r="T3" i="248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C100B9F-D878-451E-9999-4E6320DD24C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334F16A-4CC1-4168-98BA-68B22210AD05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4FFE9908-B200-4777-A86E-79B57FCD340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4C49EDA0-B31C-425B-A81F-1FEC55A97C4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CCF44AC9-8711-45FB-A4AA-9EBA07F97B8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69DF241-4358-4E64-B615-04939B623F4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8EA2AE9-CBCF-4813-9289-A0465DB02E79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32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0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0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1639269-6960-4735-8957-A0CEB4BD1289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05D1128-3565-418C-8FC1-77BBDB658C6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C27DAF6-A1C5-440A-9E8B-46AC41318B2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7938AFC5-892B-4F77-B9F5-853B4DAA043F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<sst xmlns="http://schemas.openxmlformats.org/spreadsheetml/2006/main" count="2164" uniqueCount="773">
  <si>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</si>
  <si>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</si>
  <si>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</si>
  <si>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</si>
  <si>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</si>
  <si>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</si>
  <si>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</si>
  <si>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</si>
  <si>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</si>
  <si>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</si>
  <si>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</si>
  <si>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</si>
  <si>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</si>
  <si>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</si>
  <si>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</si>
  <si>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</si>
  <si>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</si>
  <si>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</si>
  <si>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</si>
  <si>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</si>
  <si>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</si>
  <si>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</si>
  <si>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</si>
  <si>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</si>
  <si>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</si>
  <si>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</si>
  <si>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</si>
  <si>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</si>
  <si>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</si>
  <si>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</si>
  <si>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</si>
  <si>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</si>
  <si>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</si>
  <si>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</si>
  <si>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</si>
  <si>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</si>
  <si>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</si>
  <si>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</si>
  <si>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</si>
  <si>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</si>
  <si>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</si>
  <si>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</si>
  <si>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Berechnungstabelle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</si>
  <si>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</si>
  <si>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</si>
  <si>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</si>
  <si>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</si>
  <si>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</si>
  <si>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</si>
  <si>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</si>
  <si>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</si>
  <si>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</si>
  <si>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</si>
  <si>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</si>
  <si>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</si>
  <si>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</si>
  <si>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</si>
  <si>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</si>
  <si>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</si>
  <si>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</si>
  <si>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</si>
  <si>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</si>
  <si>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</si>
  <si>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</si>
  <si>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</si>
  <si>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</si>
  <si>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</si>
  <si>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</si>
  <si>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</si>
  <si>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</si>
  <si>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</si>
  <si>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</si>
  <si>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</si>
  <si>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</si>
  <si>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</si>
  <si>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</si>
  <si>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</si>
  <si>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</si>
  <si>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</si>
  <si>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</si>
  <si>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</si>
  <si>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</si>
  <si>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</si>
  <si>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</si>
  <si>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Liste der eingabeblätter für Monatserfassung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</si>
  <si>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</si>
  <si>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</si>
  <si>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</si>
  <si>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</si>
  <si>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</si>
  <si>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</si>
  <si>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</si>
  <si>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</si>
  <si>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</si>
  <si>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</si>
  <si>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</si>
  <si>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</si>
  <si>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</si>
  <si>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</si>
  <si>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</si>
  <si>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</si>
  <si>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</si>
  <si>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</si>
  <si>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</si>
  <si>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</si>
  <si>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</si>
  <si>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</si>
  <si>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</si>
  <si>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</si>
  <si>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</si>
  <si>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</si>
  <si>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</si>
  <si>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</si>
  <si>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</si>
  <si>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</si>
  <si>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</si>
  <si>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</si>
  <si>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</si>
  <si>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</si>
  <si>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</si>
  <si>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</si>
  <si>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</si>
  <si>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</si>
  <si>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</si>
  <si>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</si>
  <si>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</si>
  <si>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</si>
  <si>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</si>
  <si>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</si>
  <si>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</si>
  <si>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</si>
  <si>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</si>
  <si>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</si>
  <si>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</si>
  <si>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</si>
  <si>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</si>
  <si>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</si>
  <si>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</si>
  <si>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</si>
  <si>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</si>
  <si>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</si>
  <si>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</si>
  <si>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</si>
  <si>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</si>
  <si>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</si>
  <si>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</si>
  <si>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</si>
  <si>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</si>
  <si>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</si>
  <si>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</si>
  <si>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</si>
  <si>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</si>
  <si>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</si>
  <si>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</si>
  <si>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</si>
  <si>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</si>
  <si>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</si>
  <si>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</si>
  <si>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</si>
  <si>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</si>
  <si>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</si>
  <si>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</si>
  <si>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</si>
  <si>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</si>
  <si>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</si>
  <si>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</si>
  <si>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</si>
  <si>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</si>
  <si>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</si>
  <si>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</si>
  <si>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</si>
  <si>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</si>
  <si>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</si>
  <si>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</si>
  <si>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</si>
  <si>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</si>
  <si>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</si>
  <si>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</si>
  <si>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</si>
  <si>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</si>
  <si>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</si>
  <si>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</si>
  <si>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</si>
  <si>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</si>
  <si>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</si>
  <si>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</si>
  <si>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</si>
  <si>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</si>
  <si>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</si>
  <si>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</si>
  <si>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</si>
  <si>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</si>
  <si>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</si>
  <si>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</si>
  <si>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</si>
  <si>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</si>
  <si>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</si>
  <si>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</si>
  <si>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</si>
  <si>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</si>
  <si>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</si>
  <si>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</si>
  <si>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</si>
  <si>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</si>
  <si>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</si>
  <si>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</si>
  <si>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</si>
  <si>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</si>
  <si>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</si>
  <si>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</si>
  <si>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</si>
  <si>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</si>
  <si>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</si>
  <si>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</si>
  <si>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</si>
  <si>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</si>
  <si>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</si>
  <si>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</si>
  <si>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</si>
  <si>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</si>
  <si>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</si>
  <si>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</si>
  <si>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</si>
  <si>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</si>
  <si>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</si>
  <si>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</si>
  <si>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</si>
  <si>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</si>
  <si>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</si>
  <si>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</si>
  <si>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</si>
  <si>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</si>
  <si>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</si>
  <si>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</si>
  <si>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</si>
  <si>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</si>
  <si>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</si>
  <si>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</si>
  <si>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</si>
  <si>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</si>
  <si>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</si>
  <si>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</si>
  <si>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</si>
  <si>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</si>
  <si>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</si>
  <si>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</si>
  <si>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</si>
  <si>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</si>
  <si>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</si>
  <si>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</si>
  <si>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</si>
  <si>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</si>
  <si>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</si>
  <si>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</si>
  <si>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</si>
  <si>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</si>
  <si>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</si>
  <si>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</si>
  <si>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</si>
  <si>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</si>
  <si>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</si>
  <si>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</si>
  <si>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</si>
  <si>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</si>
  <si>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</si>
  <si>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</si>
  <si>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</si>
  <si>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</si>
  <si>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</si>
  <si>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</si>
  <si>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</si>
  <si>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</si>
  <si>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</si>
  <si>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</si>
  <si>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</si>
  <si>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</si>
  <si>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</si>
  <si>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</si>
  <si>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</si>
  <si>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</si>
  <si>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</si>
  <si>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</si>
  <si>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</si>
  <si>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</si>
  <si>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</si>
  <si>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</si>
  <si>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</si>
  <si>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</si>
  <si>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</si>
  <si>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</si>
  <si>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</si>
  <si>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</si>
  <si>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</si>
  <si>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</si>
  <si>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</si>
  <si>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</si>
  <si>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</si>
  <si>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</si>
  <si>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</si>
  <si>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</si>
  <si>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</si>
  <si>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</si>
  <si>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</si>
  <si>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</si>
  <si>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</si>
  <si>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</si>
  <si>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</si>
  <si>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</si>
  <si>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</si>
  <si>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</si>
  <si>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</si>
  <si>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</si>
  <si>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</si>
  <si>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</si>
  <si>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</si>
  <si>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</si>
  <si>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</si>
  <si>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</si>
  <si>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</si>
  <si>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</si>
  <si>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</si>
  <si>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</si>
  <si>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</si>
  <si>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</si>
  <si>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</si>
  <si>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</si>
  <si>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</si>
  <si>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</si>
  <si>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</si>
  <si>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</si>
  <si>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</si>
  <si>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</si>
  <si>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</si>
  <si>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</si>
  <si>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</si>
  <si>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</si>
  <si>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</si>
  <si>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</si>
  <si>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</si>
  <si>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</si>
  <si>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</si>
  <si>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</si>
  <si>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</si>
  <si>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</si>
  <si>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</si>
  <si>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</si>
  <si>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</si>
  <si>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</si>
  <si>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</si>
  <si>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</si>
  <si>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</si>
  <si>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</si>
  <si>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</si>
  <si>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</si>
  <si>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</si>
  <si>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</si>
  <si>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</si>
  <si>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</si>
  <si>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</si>
  <si>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</si>
  <si>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</si>
  <si>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</si>
  <si>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</si>
  <si>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</si>
  <si>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Schwanger-/ Mutter-/ Vaterschaft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</si>
  <si>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</si>
  <si>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</si>
  <si>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</si>
  <si>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</si>
  <si>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</si>
  <si>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</si>
  <si>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</si>
  <si>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</si>
  <si>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</si>
  <si>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</si>
  <si>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</si>
  <si>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</si>
  <si>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</si>
  <si>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</si>
  <si>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</si>
  <si>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</si>
  <si>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</si>
  <si>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</si>
  <si>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</si>
  <si>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</si>
  <si>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</si>
  <si>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</si>
  <si>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</si>
  <si>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</si>
  <si>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</si>
  <si>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</si>
  <si>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</si>
  <si>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</si>
  <si>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</si>
  <si>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</si>
  <si>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</si>
  <si>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</si>
  <si>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</si>
  <si>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</si>
  <si>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</si>
  <si>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</si>
  <si>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</si>
  <si>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</si>
  <si>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</si>
  <si>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</si>
  <si>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</si>
  <si>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</si>
  <si>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</si>
  <si>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</si>
  <si>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</si>
  <si>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</si>
  <si>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</si>
  <si>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</si>
  <si>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</si>
  <si>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</si>
  <si>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</si>
  <si>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</si>
  <si>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</si>
  <si>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</si>
  <si>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</si>
  <si>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</si>
  <si>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</si>
  <si>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</si>
  <si>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</si>
  <si>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</si>
  <si>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</si>
  <si>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</si>
  <si>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</si>
  <si>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</si>
  <si>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</si>
  <si>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</si>
  <si>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Schwanger-/Mutter-/Vaterschaft Art. 15 GAV</t>
  </si>
  <si>
    <t>Parent leave Art. 15 CEC</t>
  </si>
  <si>
    <t>Grossesse/Maternité art. 15 CCT</t>
  </si>
  <si>
    <t>Gravidanza/Maternità art. 15 CCL</t>
  </si>
  <si>
    <t>Militär/Beförderung/Zivilschutz Art. 16 GAV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</si>
  <si>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</si>
  <si>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</si>
  <si>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</si>
  <si>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</si>
  <si>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</si>
  <si>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</si>
  <si>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</si>
  <si>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</si>
  <si>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</si>
  <si>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</si>
  <si>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</si>
  <si>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</si>
  <si>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</si>
  <si>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</si>
  <si>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</si>
  <si>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</si>
  <si>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</si>
  <si>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</si>
  <si>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</si>
  <si>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</si>
  <si>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</si>
  <si>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gm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</si>
  <si>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</si>
  <si>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</si>
  <si>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</si>
  <si>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</si>
  <si>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</si>
  <si>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</si>
  <si>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</si>
  <si>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</si>
  <si>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</si>
  <si>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</si>
  <si>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</si>
  <si>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</si>
  <si>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</si>
  <si>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</si>
  <si>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</si>
  <si>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</si>
  <si>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</si>
  <si>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</si>
  <si>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</si>
  <si>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</si>
  <si>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</si>
  <si>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</si>
  <si>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</si>
  <si>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</si>
  <si>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</si>
  <si>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</si>
  <si>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</si>
  <si>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</si>
  <si>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</si>
  <si>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</si>
  <si>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</si>
  <si>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</si>
  <si>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</si>
  <si>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</si>
  <si>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</si>
  <si>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</si>
  <si>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</si>
  <si>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</si>
  <si>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</si>
  <si>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</si>
  <si>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</si>
  <si>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</si>
  <si>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</si>
  <si>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</si>
  <si>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</si>
  <si>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</si>
  <si>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</si>
  <si>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</si>
  <si>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</si>
  <si>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</si>
  <si>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</si>
  <si>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</si>
  <si>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</si>
  <si>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</si>
  <si>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</si>
  <si>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</si>
  <si>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</si>
  <si>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</si>
  <si>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</si>
  <si>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</si>
  <si>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</si>
  <si>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</si>
  <si>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</si>
  <si>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</si>
  <si>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</si>
  <si>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</si>
  <si>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</si>
  <si>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</si>
  <si>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</si>
  <si>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</si>
  <si>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</si>
  <si>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</si>
  <si>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</si>
  <si>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</si>
  <si>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</si>
  <si>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</si>
  <si>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</si>
  <si>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</si>
  <si>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</si>
  <si>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</si>
  <si>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</si>
  <si>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</si>
  <si>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</si>
  <si>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</si>
  <si>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</si>
  <si>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</si>
  <si>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</si>
  <si>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</si>
  <si>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</si>
  <si>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</si>
  <si>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</si>
  <si>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</si>
  <si>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</si>
  <si>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</si>
  <si>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</si>
  <si>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</si>
  <si>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</si>
  <si>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</si>
  <si>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</si>
  <si>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</si>
  <si>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</si>
  <si>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</si>
  <si>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</si>
  <si>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</si>
  <si>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</si>
  <si>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</si>
  <si>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</si>
  <si>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</si>
  <si>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</si>
  <si>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</si>
  <si>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</si>
  <si>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</si>
  <si>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</si>
  <si>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</si>
  <si>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</si>
  <si>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</si>
  <si>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</si>
  <si>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</si>
  <si>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</si>
  <si>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</si>
  <si>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</si>
  <si>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</si>
  <si>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</si>
  <si>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</si>
  <si>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</si>
  <si>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</si>
  <si>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</si>
  <si>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</si>
  <si>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</si>
  <si>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</si>
  <si>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</si>
  <si>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</si>
  <si>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! Gültiges Geburtsdatum eingeben !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</si>
  <si>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</si>
  <si>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</si>
  <si>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</si>
  <si>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</si>
  <si>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</si>
  <si>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</si>
  <si>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</si>
  <si>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</si>
  <si>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</si>
  <si>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</si>
  <si>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</si>
  <si>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</si>
  <si>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</si>
  <si>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</si>
  <si>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</si>
  <si>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</si>
  <si>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</si>
  <si>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</si>
  <si>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</si>
  <si>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</si>
  <si>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</si>
  <si>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</si>
  <si>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</si>
  <si>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</si>
  <si>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</si>
  <si>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</si>
  <si>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</si>
  <si>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</si>
  <si>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</si>
  <si>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</si>
  <si>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</si>
  <si>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</si>
  <si>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!saisir une date de naissance valide!</t>
  </si>
  <si>
    <t>date d'entrée</t>
  </si>
  <si>
    <t>heures année passée</t>
  </si>
  <si>
    <t>heures année en cours</t>
  </si>
  <si>
    <t>année passée (report)</t>
  </si>
  <si>
    <t>solde des heures</t>
  </si>
  <si>
    <t>année en cours</t>
  </si>
  <si>
    <t>vacances</t>
  </si>
  <si>
    <t>solde des vacences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</si>
  <si>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</si>
  <si>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</si>
  <si>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</si>
  <si>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</si>
  <si>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</si>
  <si>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</si>
  <si>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</si>
  <si>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</si>
  <si>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</si>
  <si>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</si>
  <si>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</si>
  <si>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</si>
  <si>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</si>
  <si>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</si>
  <si>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</si>
  <si>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</si>
  <si>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</si>
  <si>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</si>
  <si>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</si>
  <si>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</si>
  <si>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</si>
  <si>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</si>
  <si>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</si>
  <si>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</si>
  <si>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</si>
  <si>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</si>
  <si>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</si>
  <si>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</si>
  <si>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</si>
  <si>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</si>
  <si>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</si>
  <si>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</si>
  <si>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</si>
  <si>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</si>
  <si>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</si>
  <si>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</si>
  <si>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</si>
  <si>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</si>
  <si>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</si>
  <si>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</si>
  <si>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</si>
  <si>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</si>
  <si>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</si>
  <si>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</si>
  <si>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</si>
  <si>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</si>
  <si>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</si>
  <si>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</si>
  <si>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</si>
  <si>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</si>
  <si>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</si>
  <si>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</si>
  <si>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</si>
  <si>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</si>
  <si>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</si>
  <si>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</si>
  <si>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</si>
  <si>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</si>
  <si>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</si>
  <si>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</si>
  <si>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</si>
  <si>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</si>
  <si>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</si>
  <si>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</si>
  <si>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solde pour l'année</t>
  </si>
  <si>
    <t>solde mois + / -</t>
  </si>
  <si>
    <t>jours fériés</t>
  </si>
  <si>
    <t>heures théorique</t>
  </si>
  <si>
    <t>heures productives</t>
  </si>
  <si>
    <t>BITM 12j</t>
  </si>
  <si>
    <t>absences</t>
  </si>
  <si>
    <t>maladie</t>
  </si>
  <si>
    <t>accident</t>
  </si>
  <si>
    <t>grossesse/maternité/paternité</t>
  </si>
  <si>
    <t>arrêts définis par l'entreprise</t>
  </si>
  <si>
    <t>Militär/Zivildienst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</si>
  <si>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</si>
  <si>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</si>
  <si>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</si>
  <si>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</si>
  <si>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</si>
  <si>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</si>
  <si>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</si>
  <si>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</si>
  <si>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</si>
  <si>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</si>
  <si>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</si>
  <si>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</si>
  <si>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</si>
  <si>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</si>
  <si>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</si>
  <si>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</si>
  <si>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</si>
  <si>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</si>
  <si>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</si>
  <si>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</si>
  <si>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</si>
  <si>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</si>
  <si>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</si>
  <si>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</si>
  <si>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</si>
  <si>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</si>
  <si>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</si>
  <si>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</si>
  <si>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</si>
  <si>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</si>
  <si>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solde (report)</t>
  </si>
  <si>
    <t>solde negative année passée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</si>
  <si>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</si>
  <si>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</si>
  <si>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</si>
  <si>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</si>
  <si>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</si>
  <si>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</si>
  <si>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</si>
  <si>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</si>
  <si>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</si>
  <si>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solde année passée</t>
  </si>
  <si>
    <t>compensation année passée</t>
  </si>
  <si>
    <t>compensation année en cours</t>
  </si>
  <si>
    <t>heures payées solde année passée</t>
  </si>
  <si>
    <t>heures payées année en cours (heures supplémentaires)</t>
  </si>
  <si>
    <t>crédits et majorations</t>
  </si>
  <si>
    <t>total journalier</t>
  </si>
  <si>
    <t>day total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</si>
  <si>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</si>
  <si>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</si>
  <si>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</si>
  <si>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</si>
  <si>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</si>
  <si>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</si>
  <si>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</si>
  <si>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</si>
  <si>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</si>
  <si>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</si>
  <si>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</si>
  <si>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</si>
  <si>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</si>
  <si>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</si>
  <si>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</si>
  <si>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WS: azk24 // WB: AZK24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</si>
</sst>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</numFmts>
  <fonts count="86" x14ac:knownFonts="1">
    <font>
      <sz val="10"/>
      <name val="Arial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" fillId="0" borderId="0"/>
    <xf numFmtId="0" fontId="17" fillId="0" borderId="0"/>
    <xf numFmtId="9" fontId="42" fillId="0" borderId="0" applyFont="0" applyFill="0" applyBorder="0" applyAlignment="0" applyProtection="0"/>
  </cellStyleXfs>
  <cellXfs count="994">
    <xf numFmtId="0" fontId="0" fillId="0" borderId="0" xfId="0"/>
    <xf numFmtId="0" fontId="1" fillId="0" borderId="0" xfId="0" applyFont="1" applyAlignment="1" applyProtection="1">
      <alignment textRotation="180"/>
      <protection hidden="1"/>
    </xf>
    <xf numFmtId="4" fontId="2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6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9" fillId="0" borderId="0" xfId="0" applyFont="1"/>
    <xf numFmtId="171" fontId="12" fillId="3" borderId="0" xfId="0" applyNumberFormat="1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3" borderId="0" xfId="0" applyFont="1" applyFill="1" applyProtection="1">
      <protection hidden="1"/>
    </xf>
    <xf numFmtId="0" fontId="21" fillId="3" borderId="21" xfId="0" applyFont="1" applyFill="1" applyBorder="1" applyAlignment="1" applyProtection="1">
      <alignment horizontal="center" vertical="center"/>
      <protection hidden="1"/>
    </xf>
    <xf numFmtId="0" fontId="21" fillId="3" borderId="22" xfId="0" applyFont="1" applyFill="1" applyBorder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vertical="center"/>
      <protection hidden="1"/>
    </xf>
    <xf numFmtId="4" fontId="1" fillId="0" borderId="26" xfId="0" applyNumberFormat="1" applyFont="1" applyBorder="1" applyAlignment="1" applyProtection="1">
      <alignment vertical="center"/>
      <protection hidden="1"/>
    </xf>
    <xf numFmtId="4" fontId="1" fillId="4" borderId="18" xfId="0" applyNumberFormat="1" applyFont="1" applyFill="1" applyBorder="1" applyAlignment="1" applyProtection="1">
      <alignment vertical="center"/>
      <protection hidden="1"/>
    </xf>
    <xf numFmtId="4" fontId="1" fillId="0" borderId="18" xfId="0" applyNumberFormat="1" applyFont="1" applyBorder="1" applyAlignment="1" applyProtection="1">
      <alignment vertical="center"/>
      <protection hidden="1"/>
    </xf>
    <xf numFmtId="4" fontId="1" fillId="0" borderId="1" xfId="0" applyNumberFormat="1" applyFont="1" applyBorder="1" applyAlignment="1" applyProtection="1">
      <alignment vertical="center" wrapText="1"/>
      <protection hidden="1"/>
    </xf>
    <xf numFmtId="170" fontId="1" fillId="0" borderId="1" xfId="0" applyNumberFormat="1" applyFont="1" applyBorder="1" applyAlignment="1" applyProtection="1">
      <alignment horizontal="center" vertical="center"/>
      <protection hidden="1"/>
    </xf>
    <xf numFmtId="4" fontId="1" fillId="0" borderId="0" xfId="0" applyNumberFormat="1" applyFont="1" applyAlignment="1" applyProtection="1">
      <alignment vertical="center"/>
      <protection hidden="1"/>
    </xf>
    <xf numFmtId="4" fontId="1" fillId="0" borderId="1" xfId="3" applyNumberFormat="1" applyFont="1" applyBorder="1" applyAlignment="1" applyProtection="1">
      <alignment horizontal="center" vertical="center"/>
      <protection hidden="1"/>
    </xf>
    <xf numFmtId="165" fontId="20" fillId="0" borderId="1" xfId="3" applyNumberFormat="1" applyFont="1" applyBorder="1" applyAlignment="1" applyProtection="1">
      <alignment horizontal="center"/>
      <protection hidden="1"/>
    </xf>
    <xf numFmtId="165" fontId="29" fillId="0" borderId="1" xfId="3" applyNumberFormat="1" applyFont="1" applyBorder="1" applyAlignment="1" applyProtection="1">
      <alignment horizontal="center"/>
      <protection hidden="1"/>
    </xf>
    <xf numFmtId="0" fontId="4" fillId="0" borderId="27" xfId="0" applyFont="1" applyBorder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4" fillId="3" borderId="7" xfId="0" applyFont="1" applyFill="1" applyBorder="1" applyAlignment="1" applyProtection="1">
      <alignment vertical="center"/>
      <protection hidden="1"/>
    </xf>
    <xf numFmtId="0" fontId="16" fillId="3" borderId="8" xfId="0" applyFont="1" applyFill="1" applyBorder="1" applyAlignment="1" applyProtection="1">
      <alignment vertical="center" wrapText="1"/>
      <protection hidden="1"/>
    </xf>
    <xf numFmtId="0" fontId="1" fillId="3" borderId="8" xfId="0" applyFont="1" applyFill="1" applyBorder="1" applyAlignment="1" applyProtection="1">
      <alignment vertical="center"/>
      <protection hidden="1"/>
    </xf>
    <xf numFmtId="0" fontId="12" fillId="3" borderId="8" xfId="0" applyFont="1" applyFill="1" applyBorder="1" applyAlignment="1" applyProtection="1">
      <alignment horizontal="center" vertical="center"/>
      <protection hidden="1"/>
    </xf>
    <xf numFmtId="0" fontId="12" fillId="3" borderId="8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Protection="1">
      <protection hidden="1"/>
    </xf>
    <xf numFmtId="0" fontId="18" fillId="0" borderId="0" xfId="0" applyFont="1"/>
    <xf numFmtId="0" fontId="0" fillId="0" borderId="0" xfId="0" applyAlignment="1">
      <alignment horizontal="center" vertical="center"/>
    </xf>
    <xf numFmtId="4" fontId="1" fillId="0" borderId="41" xfId="0" applyNumberFormat="1" applyFont="1" applyBorder="1" applyAlignment="1" applyProtection="1">
      <alignment vertical="center"/>
      <protection hidden="1"/>
    </xf>
    <xf numFmtId="4" fontId="1" fillId="0" borderId="42" xfId="0" applyNumberFormat="1" applyFont="1" applyBorder="1" applyAlignment="1" applyProtection="1">
      <alignment vertical="center"/>
      <protection hidden="1"/>
    </xf>
    <xf numFmtId="4" fontId="1" fillId="0" borderId="39" xfId="0" applyNumberFormat="1" applyFont="1" applyBorder="1" applyAlignment="1" applyProtection="1">
      <alignment horizontal="left" vertical="center"/>
      <protection hidden="1"/>
    </xf>
    <xf numFmtId="4" fontId="1" fillId="0" borderId="42" xfId="0" applyNumberFormat="1" applyFont="1" applyBorder="1" applyAlignment="1" applyProtection="1">
      <alignment horizontal="left" vertical="center"/>
      <protection hidden="1"/>
    </xf>
    <xf numFmtId="4" fontId="1" fillId="0" borderId="38" xfId="0" applyNumberFormat="1" applyFont="1" applyBorder="1" applyAlignment="1" applyProtection="1">
      <alignment horizontal="left" vertical="center"/>
      <protection hidden="1"/>
    </xf>
    <xf numFmtId="4" fontId="1" fillId="0" borderId="37" xfId="0" applyNumberFormat="1" applyFont="1" applyBorder="1" applyAlignment="1" applyProtection="1">
      <alignment horizontal="left" vertical="center"/>
      <protection hidden="1"/>
    </xf>
    <xf numFmtId="4" fontId="21" fillId="0" borderId="36" xfId="0" applyNumberFormat="1" applyFont="1" applyBorder="1" applyAlignment="1" applyProtection="1">
      <alignment vertical="center" wrapText="1"/>
      <protection hidden="1"/>
    </xf>
    <xf numFmtId="0" fontId="9" fillId="0" borderId="0" xfId="0" applyFont="1" applyAlignment="1">
      <alignment vertical="center"/>
    </xf>
    <xf numFmtId="4" fontId="1" fillId="8" borderId="16" xfId="0" applyNumberFormat="1" applyFont="1" applyFill="1" applyBorder="1" applyAlignment="1" applyProtection="1">
      <alignment horizontal="center" vertical="center"/>
      <protection locked="0"/>
    </xf>
    <xf numFmtId="4" fontId="1" fillId="8" borderId="48" xfId="0" applyNumberFormat="1" applyFont="1" applyFill="1" applyBorder="1" applyAlignment="1" applyProtection="1">
      <alignment horizontal="center" vertical="center"/>
      <protection locked="0"/>
    </xf>
    <xf numFmtId="4" fontId="1" fillId="8" borderId="50" xfId="0" applyNumberFormat="1" applyFont="1" applyFill="1" applyBorder="1" applyAlignment="1" applyProtection="1">
      <alignment horizontal="center" vertical="center"/>
      <protection locked="0"/>
    </xf>
    <xf numFmtId="4" fontId="1" fillId="8" borderId="13" xfId="0" applyNumberFormat="1" applyFont="1" applyFill="1" applyBorder="1" applyAlignment="1" applyProtection="1">
      <alignment horizontal="center" vertical="center"/>
      <protection locked="0"/>
    </xf>
    <xf numFmtId="4" fontId="1" fillId="8" borderId="52" xfId="0" applyNumberFormat="1" applyFont="1" applyFill="1" applyBorder="1" applyAlignment="1" applyProtection="1">
      <alignment horizontal="center" vertical="center"/>
      <protection locked="0"/>
    </xf>
    <xf numFmtId="4" fontId="1" fillId="8" borderId="53" xfId="0" applyNumberFormat="1" applyFont="1" applyFill="1" applyBorder="1" applyAlignment="1" applyProtection="1">
      <alignment horizontal="center" vertical="center"/>
      <protection locked="0"/>
    </xf>
    <xf numFmtId="4" fontId="1" fillId="8" borderId="55" xfId="0" applyNumberFormat="1" applyFont="1" applyFill="1" applyBorder="1" applyAlignment="1" applyProtection="1">
      <alignment horizontal="center" vertical="center"/>
      <protection locked="0"/>
    </xf>
    <xf numFmtId="4" fontId="1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25" fillId="0" borderId="1" xfId="0" applyFont="1" applyBorder="1" applyAlignment="1" applyProtection="1">
      <alignment horizontal="left"/>
      <protection hidden="1"/>
    </xf>
    <xf numFmtId="0" fontId="26" fillId="3" borderId="0" xfId="4" applyFont="1" applyFill="1" applyAlignment="1" applyProtection="1">
      <alignment horizontal="center" vertical="center"/>
      <protection hidden="1"/>
    </xf>
    <xf numFmtId="4" fontId="28" fillId="2" borderId="1" xfId="0" applyNumberFormat="1" applyFont="1" applyFill="1" applyBorder="1" applyAlignment="1" applyProtection="1">
      <alignment horizontal="center" vertical="center"/>
      <protection locked="0"/>
    </xf>
    <xf numFmtId="0" fontId="35" fillId="3" borderId="25" xfId="0" applyFont="1" applyFill="1" applyBorder="1" applyAlignment="1" applyProtection="1">
      <alignment horizontal="right" vertical="center"/>
      <protection hidden="1"/>
    </xf>
    <xf numFmtId="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4" fillId="3" borderId="17" xfId="0" applyFont="1" applyFill="1" applyBorder="1" applyAlignment="1" applyProtection="1">
      <alignment horizontal="left"/>
      <protection hidden="1"/>
    </xf>
    <xf numFmtId="0" fontId="44" fillId="3" borderId="8" xfId="0" applyFont="1" applyFill="1" applyBorder="1" applyAlignment="1" applyProtection="1">
      <alignment horizontal="left"/>
      <protection hidden="1"/>
    </xf>
    <xf numFmtId="0" fontId="44" fillId="3" borderId="25" xfId="0" applyFont="1" applyFill="1" applyBorder="1" applyAlignment="1" applyProtection="1">
      <alignment horizontal="left"/>
      <protection hidden="1"/>
    </xf>
    <xf numFmtId="4" fontId="8" fillId="0" borderId="68" xfId="0" applyNumberFormat="1" applyFont="1" applyBorder="1" applyProtection="1">
      <protection hidden="1"/>
    </xf>
    <xf numFmtId="4" fontId="8" fillId="0" borderId="12" xfId="0" applyNumberFormat="1" applyFont="1" applyBorder="1" applyProtection="1">
      <protection hidden="1"/>
    </xf>
    <xf numFmtId="4" fontId="28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0" borderId="43" xfId="0" applyFont="1" applyBorder="1" applyAlignment="1" applyProtection="1">
      <alignment horizontal="center" vertical="center"/>
      <protection hidden="1"/>
    </xf>
    <xf numFmtId="0" fontId="27" fillId="0" borderId="44" xfId="0" applyFont="1" applyBorder="1" applyAlignment="1" applyProtection="1">
      <alignment horizontal="center" vertical="center"/>
      <protection hidden="1"/>
    </xf>
    <xf numFmtId="0" fontId="27" fillId="0" borderId="51" xfId="0" applyFont="1" applyBorder="1" applyAlignment="1" applyProtection="1">
      <alignment horizontal="center" vertical="center"/>
      <protection hidden="1"/>
    </xf>
    <xf numFmtId="0" fontId="27" fillId="0" borderId="64" xfId="0" applyFont="1" applyBorder="1" applyAlignment="1" applyProtection="1">
      <alignment horizontal="center" vertical="center"/>
      <protection hidden="1"/>
    </xf>
    <xf numFmtId="0" fontId="38" fillId="0" borderId="1" xfId="0" applyFont="1" applyBorder="1" applyAlignment="1" applyProtection="1">
      <alignment horizontal="center" vertical="center"/>
      <protection hidden="1"/>
    </xf>
    <xf numFmtId="0" fontId="38" fillId="0" borderId="43" xfId="0" applyFont="1" applyBorder="1" applyAlignment="1" applyProtection="1">
      <alignment horizontal="center" vertical="center"/>
      <protection hidden="1"/>
    </xf>
    <xf numFmtId="0" fontId="18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38" fillId="0" borderId="27" xfId="0" applyFont="1" applyBorder="1" applyAlignment="1" applyProtection="1">
      <alignment horizontal="center" vertical="center"/>
      <protection hidden="1"/>
    </xf>
    <xf numFmtId="0" fontId="48" fillId="0" borderId="40" xfId="0" applyFont="1" applyBorder="1" applyAlignment="1" applyProtection="1">
      <alignment horizontal="center" vertical="center"/>
      <protection hidden="1"/>
    </xf>
    <xf numFmtId="4" fontId="1" fillId="0" borderId="40" xfId="0" applyNumberFormat="1" applyFont="1" applyBorder="1" applyAlignment="1" applyProtection="1">
      <alignment vertical="center"/>
      <protection hidden="1"/>
    </xf>
    <xf numFmtId="4" fontId="1" fillId="2" borderId="61" xfId="0" applyNumberFormat="1" applyFont="1" applyFill="1" applyBorder="1" applyAlignment="1" applyProtection="1">
      <alignment horizontal="center" vertical="center"/>
      <protection locked="0"/>
    </xf>
    <xf numFmtId="4" fontId="1" fillId="2" borderId="62" xfId="0" applyNumberFormat="1" applyFont="1" applyFill="1" applyBorder="1" applyAlignment="1" applyProtection="1">
      <alignment horizontal="center" vertical="center"/>
      <protection locked="0"/>
    </xf>
    <xf numFmtId="4" fontId="1" fillId="2" borderId="45" xfId="0" applyNumberFormat="1" applyFont="1" applyFill="1" applyBorder="1" applyAlignment="1" applyProtection="1">
      <alignment horizontal="center" vertical="center"/>
      <protection locked="0"/>
    </xf>
    <xf numFmtId="4" fontId="1" fillId="2" borderId="46" xfId="0" applyNumberFormat="1" applyFont="1" applyFill="1" applyBorder="1" applyAlignment="1" applyProtection="1">
      <alignment horizontal="center" vertical="center"/>
      <protection locked="0"/>
    </xf>
    <xf numFmtId="4" fontId="1" fillId="2" borderId="50" xfId="0" applyNumberFormat="1" applyFont="1" applyFill="1" applyBorder="1" applyAlignment="1" applyProtection="1">
      <alignment horizontal="center" vertical="center"/>
      <protection locked="0"/>
    </xf>
    <xf numFmtId="4" fontId="1" fillId="2" borderId="13" xfId="0" applyNumberFormat="1" applyFont="1" applyFill="1" applyBorder="1" applyAlignment="1" applyProtection="1">
      <alignment horizontal="center" vertical="center"/>
      <protection locked="0"/>
    </xf>
    <xf numFmtId="4" fontId="1" fillId="4" borderId="28" xfId="0" applyNumberFormat="1" applyFont="1" applyFill="1" applyBorder="1" applyAlignment="1" applyProtection="1">
      <alignment vertical="center"/>
      <protection hidden="1"/>
    </xf>
    <xf numFmtId="4" fontId="8" fillId="0" borderId="14" xfId="0" applyNumberFormat="1" applyFont="1" applyBorder="1" applyProtection="1">
      <protection hidden="1"/>
    </xf>
    <xf numFmtId="4" fontId="1" fillId="2" borderId="27" xfId="0" applyNumberFormat="1" applyFont="1" applyFill="1" applyBorder="1" applyAlignment="1" applyProtection="1">
      <alignment horizontal="center" vertical="center"/>
      <protection locked="0"/>
    </xf>
    <xf numFmtId="4" fontId="21" fillId="0" borderId="41" xfId="0" applyNumberFormat="1" applyFont="1" applyBorder="1" applyAlignment="1" applyProtection="1">
      <alignment vertical="center" wrapText="1"/>
      <protection hidden="1"/>
    </xf>
    <xf numFmtId="0" fontId="4" fillId="0" borderId="2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167" fontId="5" fillId="0" borderId="25" xfId="3" applyNumberFormat="1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32" fillId="3" borderId="2" xfId="1" applyFont="1" applyFill="1" applyBorder="1" applyAlignment="1" applyProtection="1">
      <protection hidden="1"/>
    </xf>
    <xf numFmtId="4" fontId="28" fillId="0" borderId="7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9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49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1" fillId="0" borderId="1" xfId="0" applyNumberFormat="1" applyFont="1" applyBorder="1" applyAlignment="1" applyProtection="1">
      <alignment vertical="center"/>
      <protection hidden="1"/>
    </xf>
    <xf numFmtId="178" fontId="1" fillId="0" borderId="1" xfId="5" applyNumberFormat="1" applyFont="1" applyBorder="1" applyAlignment="1" applyProtection="1">
      <alignment vertical="center"/>
      <protection hidden="1"/>
    </xf>
    <xf numFmtId="0" fontId="9" fillId="0" borderId="0" xfId="0" quotePrefix="1" applyFont="1" applyAlignment="1" applyProtection="1">
      <alignment horizontal="center" vertical="center"/>
      <protection hidden="1"/>
    </xf>
    <xf numFmtId="179" fontId="1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4" fillId="0" borderId="0" xfId="0" applyFont="1" applyAlignment="1" applyProtection="1">
      <alignment vertical="top"/>
      <protection hidden="1"/>
    </xf>
    <xf numFmtId="3" fontId="38" fillId="0" borderId="1" xfId="0" applyNumberFormat="1" applyFont="1" applyBorder="1" applyAlignment="1" applyProtection="1">
      <alignment horizontal="center" vertical="center"/>
      <protection hidden="1"/>
    </xf>
    <xf numFmtId="0" fontId="38" fillId="0" borderId="6" xfId="0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8" fillId="7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8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8" fillId="11" borderId="0" xfId="0" applyFont="1" applyFill="1" applyAlignment="1">
      <alignment horizontal="left" vertical="top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53" fillId="12" borderId="79" xfId="1" applyFont="1" applyFill="1" applyBorder="1" applyAlignment="1" applyProtection="1">
      <alignment horizontal="left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3" fillId="11" borderId="0" xfId="0" applyFont="1" applyFill="1" applyAlignment="1">
      <alignment vertical="top" wrapText="1"/>
    </xf>
    <xf numFmtId="0" fontId="36" fillId="0" borderId="0" xfId="0" applyFont="1" applyAlignment="1">
      <alignment vertical="top" wrapText="1"/>
    </xf>
    <xf numFmtId="0" fontId="39" fillId="0" borderId="0" xfId="0" applyFont="1" applyProtection="1">
      <protection hidden="1"/>
    </xf>
    <xf numFmtId="4" fontId="21" fillId="3" borderId="45" xfId="0" applyNumberFormat="1" applyFont="1" applyFill="1" applyBorder="1" applyAlignment="1" applyProtection="1">
      <alignment horizontal="center" vertical="center"/>
      <protection hidden="1"/>
    </xf>
    <xf numFmtId="4" fontId="21" fillId="3" borderId="46" xfId="0" applyNumberFormat="1" applyFont="1" applyFill="1" applyBorder="1" applyAlignment="1" applyProtection="1">
      <alignment horizontal="center" vertical="center"/>
      <protection hidden="1"/>
    </xf>
    <xf numFmtId="4" fontId="21" fillId="3" borderId="47" xfId="0" applyNumberFormat="1" applyFont="1" applyFill="1" applyBorder="1" applyAlignment="1" applyProtection="1">
      <alignment horizontal="center" vertical="center"/>
      <protection hidden="1"/>
    </xf>
    <xf numFmtId="4" fontId="21" fillId="3" borderId="20" xfId="0" applyNumberFormat="1" applyFont="1" applyFill="1" applyBorder="1" applyAlignment="1" applyProtection="1">
      <alignment horizontal="center" vertical="center"/>
      <protection hidden="1"/>
    </xf>
    <xf numFmtId="4" fontId="21" fillId="3" borderId="35" xfId="0" applyNumberFormat="1" applyFont="1" applyFill="1" applyBorder="1" applyAlignment="1" applyProtection="1">
      <alignment horizontal="center" vertical="center"/>
      <protection hidden="1"/>
    </xf>
    <xf numFmtId="4" fontId="21" fillId="3" borderId="33" xfId="0" applyNumberFormat="1" applyFont="1" applyFill="1" applyBorder="1" applyAlignment="1" applyProtection="1">
      <alignment horizontal="center" vertical="center"/>
      <protection hidden="1"/>
    </xf>
    <xf numFmtId="4" fontId="5" fillId="3" borderId="14" xfId="0" applyNumberFormat="1" applyFont="1" applyFill="1" applyBorder="1" applyAlignment="1" applyProtection="1">
      <alignment horizontal="left"/>
      <protection hidden="1"/>
    </xf>
    <xf numFmtId="4" fontId="1" fillId="3" borderId="14" xfId="0" applyNumberFormat="1" applyFont="1" applyFill="1" applyBorder="1" applyAlignment="1" applyProtection="1">
      <alignment horizontal="center" vertical="center"/>
      <protection hidden="1"/>
    </xf>
    <xf numFmtId="4" fontId="1" fillId="3" borderId="14" xfId="0" applyNumberFormat="1" applyFont="1" applyFill="1" applyBorder="1" applyAlignment="1" applyProtection="1">
      <alignment horizontal="left" vertical="center"/>
      <protection hidden="1"/>
    </xf>
    <xf numFmtId="0" fontId="1" fillId="3" borderId="0" xfId="0" applyFont="1" applyFill="1" applyProtection="1">
      <protection hidden="1"/>
    </xf>
    <xf numFmtId="0" fontId="21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" fillId="3" borderId="3" xfId="0" applyFont="1" applyFill="1" applyBorder="1" applyAlignment="1" applyProtection="1">
      <alignment vertical="center"/>
      <protection hidden="1"/>
    </xf>
    <xf numFmtId="0" fontId="1" fillId="3" borderId="17" xfId="0" applyFont="1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0" fontId="22" fillId="3" borderId="5" xfId="0" applyFont="1" applyFill="1" applyBorder="1" applyProtection="1"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19" fillId="3" borderId="0" xfId="0" applyFont="1" applyFill="1" applyProtection="1">
      <protection hidden="1"/>
    </xf>
    <xf numFmtId="0" fontId="5" fillId="3" borderId="7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33" fillId="3" borderId="3" xfId="1" applyFont="1" applyFill="1" applyBorder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15" fillId="3" borderId="0" xfId="0" applyFont="1" applyFill="1" applyAlignment="1" applyProtection="1">
      <alignment vertical="center"/>
      <protection hidden="1"/>
    </xf>
    <xf numFmtId="173" fontId="4" fillId="3" borderId="0" xfId="0" applyNumberFormat="1" applyFont="1" applyFill="1" applyAlignment="1" applyProtection="1">
      <alignment vertical="center"/>
      <protection hidden="1"/>
    </xf>
    <xf numFmtId="172" fontId="4" fillId="3" borderId="0" xfId="0" applyNumberFormat="1" applyFont="1" applyFill="1" applyAlignment="1" applyProtection="1">
      <alignment vertical="center"/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vertical="center"/>
      <protection hidden="1"/>
    </xf>
    <xf numFmtId="0" fontId="1" fillId="3" borderId="5" xfId="0" applyFont="1" applyFill="1" applyBorder="1" applyProtection="1">
      <protection hidden="1"/>
    </xf>
    <xf numFmtId="0" fontId="30" fillId="3" borderId="2" xfId="0" applyFont="1" applyFill="1" applyBorder="1" applyAlignment="1" applyProtection="1">
      <alignment vertical="center"/>
      <protection hidden="1"/>
    </xf>
    <xf numFmtId="0" fontId="31" fillId="3" borderId="2" xfId="0" applyFont="1" applyFill="1" applyBorder="1" applyProtection="1">
      <protection hidden="1"/>
    </xf>
    <xf numFmtId="172" fontId="4" fillId="3" borderId="2" xfId="0" applyNumberFormat="1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0" fontId="22" fillId="3" borderId="2" xfId="0" applyFont="1" applyFill="1" applyBorder="1" applyAlignment="1" applyProtection="1">
      <alignment vertical="center"/>
      <protection hidden="1"/>
    </xf>
    <xf numFmtId="0" fontId="22" fillId="3" borderId="6" xfId="0" applyFont="1" applyFill="1" applyBorder="1" applyAlignment="1" applyProtection="1">
      <alignment vertical="center"/>
      <protection hidden="1"/>
    </xf>
    <xf numFmtId="169" fontId="14" fillId="3" borderId="7" xfId="0" applyNumberFormat="1" applyFont="1" applyFill="1" applyBorder="1" applyAlignment="1" applyProtection="1">
      <alignment vertical="center"/>
      <protection hidden="1"/>
    </xf>
    <xf numFmtId="169" fontId="14" fillId="3" borderId="3" xfId="0" applyNumberFormat="1" applyFont="1" applyFill="1" applyBorder="1" applyAlignment="1" applyProtection="1">
      <alignment vertical="center"/>
      <protection hidden="1"/>
    </xf>
    <xf numFmtId="0" fontId="43" fillId="3" borderId="2" xfId="0" applyFont="1" applyFill="1" applyBorder="1" applyAlignment="1" applyProtection="1">
      <alignment vertical="center" wrapText="1"/>
      <protection hidden="1"/>
    </xf>
    <xf numFmtId="0" fontId="43" fillId="3" borderId="2" xfId="0" applyFont="1" applyFill="1" applyBorder="1" applyAlignment="1" applyProtection="1">
      <alignment vertical="center"/>
      <protection hidden="1"/>
    </xf>
    <xf numFmtId="14" fontId="1" fillId="3" borderId="3" xfId="0" applyNumberFormat="1" applyFont="1" applyFill="1" applyBorder="1" applyAlignment="1" applyProtection="1">
      <alignment horizontal="left"/>
      <protection hidden="1"/>
    </xf>
    <xf numFmtId="0" fontId="1" fillId="3" borderId="3" xfId="0" applyFont="1" applyFill="1" applyBorder="1" applyProtection="1">
      <protection hidden="1"/>
    </xf>
    <xf numFmtId="0" fontId="1" fillId="3" borderId="8" xfId="0" applyFont="1" applyFill="1" applyBorder="1" applyProtection="1">
      <protection hidden="1"/>
    </xf>
    <xf numFmtId="4" fontId="1" fillId="3" borderId="7" xfId="0" applyNumberFormat="1" applyFont="1" applyFill="1" applyBorder="1" applyAlignment="1" applyProtection="1">
      <alignment horizontal="center" vertical="center"/>
      <protection hidden="1"/>
    </xf>
    <xf numFmtId="4" fontId="1" fillId="3" borderId="3" xfId="0" applyNumberFormat="1" applyFont="1" applyFill="1" applyBorder="1" applyAlignment="1" applyProtection="1">
      <alignment horizontal="center" vertical="center"/>
      <protection hidden="1"/>
    </xf>
    <xf numFmtId="4" fontId="1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1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4" fillId="0" borderId="0" xfId="0" applyFont="1" applyAlignment="1">
      <alignment horizontal="left" vertical="center" wrapText="1"/>
    </xf>
    <xf numFmtId="0" fontId="18" fillId="0" borderId="0" xfId="0" applyFont="1" applyAlignment="1">
      <alignment vertical="top"/>
    </xf>
    <xf numFmtId="0" fontId="1" fillId="0" borderId="26" xfId="0" applyFont="1" applyBorder="1" applyAlignment="1" applyProtection="1">
      <alignment horizontal="center" vertical="center"/>
      <protection hidden="1"/>
    </xf>
    <xf numFmtId="0" fontId="55" fillId="3" borderId="0" xfId="4" applyFont="1" applyFill="1" applyAlignment="1" applyProtection="1">
      <alignment horizontal="center" vertical="center"/>
      <protection hidden="1"/>
    </xf>
    <xf numFmtId="0" fontId="53" fillId="3" borderId="0" xfId="0" applyFont="1" applyFill="1" applyAlignment="1" applyProtection="1">
      <alignment horizontal="center"/>
      <protection hidden="1"/>
    </xf>
    <xf numFmtId="165" fontId="20" fillId="3" borderId="1" xfId="3" applyNumberFormat="1" applyFont="1" applyFill="1" applyBorder="1" applyAlignment="1" applyProtection="1">
      <alignment horizontal="center"/>
      <protection hidden="1"/>
    </xf>
    <xf numFmtId="4" fontId="1" fillId="3" borderId="1" xfId="3" applyNumberFormat="1" applyFont="1" applyFill="1" applyBorder="1" applyAlignment="1" applyProtection="1">
      <alignment horizontal="center" vertical="center"/>
      <protection hidden="1"/>
    </xf>
    <xf numFmtId="0" fontId="1" fillId="3" borderId="26" xfId="0" applyFont="1" applyFill="1" applyBorder="1" applyAlignment="1" applyProtection="1">
      <alignment horizontal="center" vertical="center"/>
      <protection hidden="1"/>
    </xf>
    <xf numFmtId="170" fontId="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8" borderId="1" xfId="0" applyFont="1" applyFill="1" applyBorder="1" applyProtection="1">
      <protection hidden="1"/>
    </xf>
    <xf numFmtId="3" fontId="5" fillId="3" borderId="3" xfId="3" applyNumberFormat="1" applyFont="1" applyFill="1" applyBorder="1" applyAlignment="1" applyProtection="1">
      <alignment horizontal="center" vertical="center"/>
      <protection hidden="1"/>
    </xf>
    <xf numFmtId="3" fontId="5" fillId="3" borderId="4" xfId="3" applyNumberFormat="1" applyFont="1" applyFill="1" applyBorder="1" applyAlignment="1" applyProtection="1">
      <alignment horizontal="center" vertical="center"/>
      <protection hidden="1"/>
    </xf>
    <xf numFmtId="3" fontId="5" fillId="3" borderId="7" xfId="3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left" vertical="top"/>
    </xf>
    <xf numFmtId="0" fontId="57" fillId="11" borderId="0" xfId="0" applyFont="1" applyFill="1" applyAlignment="1">
      <alignment horizontal="left" vertical="top"/>
    </xf>
    <xf numFmtId="0" fontId="57" fillId="11" borderId="0" xfId="0" applyFont="1" applyFill="1" applyAlignment="1">
      <alignment horizontal="right" vertical="top"/>
    </xf>
    <xf numFmtId="0" fontId="18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9" fillId="5" borderId="0" xfId="0" applyFont="1" applyFill="1" applyAlignment="1">
      <alignment horizontal="right" vertical="center"/>
    </xf>
    <xf numFmtId="0" fontId="18" fillId="13" borderId="0" xfId="0" applyFont="1" applyFill="1" applyAlignment="1">
      <alignment horizontal="center" vertical="top"/>
    </xf>
    <xf numFmtId="0" fontId="18" fillId="13" borderId="0" xfId="0" applyFont="1" applyFill="1" applyAlignment="1">
      <alignment vertical="top"/>
    </xf>
    <xf numFmtId="0" fontId="18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9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8" fillId="5" borderId="0" xfId="0" applyFont="1" applyFill="1" applyAlignment="1">
      <alignment horizontal="right"/>
    </xf>
    <xf numFmtId="0" fontId="61" fillId="0" borderId="0" xfId="0" applyFont="1" applyAlignment="1">
      <alignment vertical="top"/>
    </xf>
    <xf numFmtId="0" fontId="59" fillId="0" borderId="0" xfId="0" applyFont="1" applyAlignment="1">
      <alignment vertical="center"/>
    </xf>
    <xf numFmtId="0" fontId="5" fillId="0" borderId="0" xfId="0" applyFont="1" applyProtection="1"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3" borderId="3" xfId="0" applyFont="1" applyFill="1" applyBorder="1" applyAlignment="1" applyProtection="1">
      <alignment horizontal="center"/>
      <protection hidden="1"/>
    </xf>
    <xf numFmtId="0" fontId="12" fillId="0" borderId="3" xfId="0" applyFont="1" applyBorder="1" applyAlignment="1" applyProtection="1">
      <alignment horizontal="center"/>
      <protection hidden="1"/>
    </xf>
    <xf numFmtId="0" fontId="12" fillId="3" borderId="3" xfId="0" applyFont="1" applyFill="1" applyBorder="1" applyAlignment="1" applyProtection="1">
      <alignment horizontal="center" vertical="center"/>
      <protection hidden="1"/>
    </xf>
    <xf numFmtId="0" fontId="12" fillId="3" borderId="3" xfId="1" applyNumberFormat="1" applyFont="1" applyFill="1" applyBorder="1" applyAlignment="1" applyProtection="1">
      <alignment horizontal="center" vertical="center"/>
      <protection hidden="1"/>
    </xf>
    <xf numFmtId="0" fontId="12" fillId="3" borderId="4" xfId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textRotation="180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65" fillId="0" borderId="0" xfId="0" applyFont="1" applyAlignment="1" applyProtection="1">
      <alignment horizontal="center"/>
      <protection hidden="1"/>
    </xf>
    <xf numFmtId="0" fontId="66" fillId="11" borderId="0" xfId="0" applyFont="1" applyFill="1" applyAlignment="1">
      <alignment horizontal="center" vertical="top"/>
    </xf>
    <xf numFmtId="0" fontId="60" fillId="16" borderId="0" xfId="0" applyFont="1" applyFill="1" applyAlignment="1">
      <alignment vertical="center"/>
    </xf>
    <xf numFmtId="0" fontId="60" fillId="16" borderId="81" xfId="0" applyFont="1" applyFill="1" applyBorder="1" applyAlignment="1">
      <alignment horizontal="left" vertical="center" wrapText="1"/>
    </xf>
    <xf numFmtId="0" fontId="56" fillId="14" borderId="82" xfId="0" applyFont="1" applyFill="1" applyBorder="1" applyAlignment="1">
      <alignment horizontal="left" vertical="center" wrapText="1"/>
    </xf>
    <xf numFmtId="0" fontId="56" fillId="14" borderId="83" xfId="0" applyFont="1" applyFill="1" applyBorder="1" applyAlignment="1">
      <alignment horizontal="left" vertical="center" wrapText="1"/>
    </xf>
    <xf numFmtId="0" fontId="56" fillId="15" borderId="84" xfId="0" applyFont="1" applyFill="1" applyBorder="1" applyAlignment="1">
      <alignment horizontal="left" vertical="center" wrapText="1"/>
    </xf>
    <xf numFmtId="0" fontId="56" fillId="15" borderId="80" xfId="0" applyFont="1" applyFill="1" applyBorder="1" applyAlignment="1">
      <alignment horizontal="left" vertical="center" wrapText="1"/>
    </xf>
    <xf numFmtId="0" fontId="56" fillId="14" borderId="84" xfId="0" applyFont="1" applyFill="1" applyBorder="1" applyAlignment="1">
      <alignment horizontal="left" vertical="center" wrapText="1"/>
    </xf>
    <xf numFmtId="0" fontId="56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1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0" fillId="0" borderId="1" xfId="0" applyBorder="1"/>
    <xf numFmtId="0" fontId="12" fillId="5" borderId="1" xfId="0" applyFont="1" applyFill="1" applyBorder="1" applyAlignment="1">
      <alignment horizontal="center"/>
    </xf>
    <xf numFmtId="0" fontId="58" fillId="5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8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9" fillId="11" borderId="86" xfId="0" applyFont="1" applyFill="1" applyBorder="1" applyAlignment="1">
      <alignment horizontal="center" vertical="center" wrapText="1"/>
    </xf>
    <xf numFmtId="182" fontId="9" fillId="0" borderId="0" xfId="0" applyNumberFormat="1" applyFont="1" applyAlignment="1">
      <alignment horizontal="center" vertical="top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186" fontId="1" fillId="0" borderId="1" xfId="0" applyNumberFormat="1" applyFont="1" applyBorder="1" applyAlignment="1" applyProtection="1">
      <alignment vertical="center"/>
      <protection hidden="1"/>
    </xf>
    <xf numFmtId="3" fontId="1" fillId="0" borderId="7" xfId="0" applyNumberFormat="1" applyFont="1" applyBorder="1" applyAlignment="1" applyProtection="1">
      <alignment vertical="center"/>
      <protection hidden="1"/>
    </xf>
    <xf numFmtId="184" fontId="1" fillId="0" borderId="7" xfId="0" applyNumberFormat="1" applyFont="1" applyBorder="1" applyAlignment="1" applyProtection="1">
      <alignment vertical="center"/>
      <protection hidden="1"/>
    </xf>
    <xf numFmtId="185" fontId="1" fillId="0" borderId="7" xfId="0" applyNumberFormat="1" applyFont="1" applyBorder="1" applyAlignment="1" applyProtection="1">
      <alignment vertical="center"/>
      <protection hidden="1"/>
    </xf>
    <xf numFmtId="10" fontId="1" fillId="0" borderId="7" xfId="5" applyNumberFormat="1" applyFont="1" applyBorder="1" applyAlignment="1" applyProtection="1">
      <alignment vertical="center"/>
      <protection hidden="1"/>
    </xf>
    <xf numFmtId="187" fontId="1" fillId="0" borderId="7" xfId="0" applyNumberFormat="1" applyFont="1" applyBorder="1" applyAlignment="1" applyProtection="1">
      <alignment vertical="center"/>
      <protection hidden="1"/>
    </xf>
    <xf numFmtId="4" fontId="1" fillId="0" borderId="7" xfId="0" applyNumberFormat="1" applyFont="1" applyBorder="1" applyAlignment="1" applyProtection="1">
      <alignment vertical="center"/>
      <protection hidden="1"/>
    </xf>
    <xf numFmtId="0" fontId="1" fillId="0" borderId="7" xfId="0" applyFont="1" applyBorder="1" applyAlignment="1" applyProtection="1">
      <alignment vertical="center"/>
      <protection hidden="1"/>
    </xf>
    <xf numFmtId="0" fontId="69" fillId="5" borderId="0" xfId="0" applyFont="1" applyFill="1" applyAlignment="1" applyProtection="1">
      <alignment horizontal="center" vertical="center"/>
      <protection hidden="1"/>
    </xf>
    <xf numFmtId="0" fontId="69" fillId="11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center" vertical="center"/>
      <protection hidden="1"/>
    </xf>
    <xf numFmtId="4" fontId="1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 applyProtection="1">
      <alignment horizontal="left" vertical="center" shrinkToFit="1"/>
      <protection locked="0"/>
    </xf>
    <xf numFmtId="0" fontId="9" fillId="3" borderId="0" xfId="0" applyFont="1" applyFill="1" applyAlignment="1">
      <alignment horizontal="left" vertical="center" shrinkToFit="1"/>
    </xf>
    <xf numFmtId="0" fontId="0" fillId="3" borderId="0" xfId="0" applyFill="1" applyAlignment="1">
      <alignment horizontal="left" vertical="center" shrinkToFit="1"/>
    </xf>
    <xf numFmtId="0" fontId="0" fillId="3" borderId="0" xfId="0" applyFill="1" applyProtection="1">
      <protection hidden="1"/>
    </xf>
    <xf numFmtId="0" fontId="24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9" fillId="0" borderId="0" xfId="5" applyFont="1"/>
    <xf numFmtId="0" fontId="36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8" fillId="0" borderId="0" xfId="0" applyFont="1" applyAlignment="1">
      <alignment vertical="top"/>
    </xf>
    <xf numFmtId="0" fontId="69" fillId="0" borderId="0" xfId="0" applyFont="1"/>
    <xf numFmtId="0" fontId="69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9" fillId="7" borderId="0" xfId="0" applyNumberFormat="1" applyFont="1" applyFill="1" applyAlignment="1">
      <alignment horizontal="center" vertical="top"/>
    </xf>
    <xf numFmtId="0" fontId="9" fillId="0" borderId="0" xfId="0" applyFont="1" applyAlignment="1">
      <alignment vertical="top"/>
    </xf>
    <xf numFmtId="0" fontId="9" fillId="11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0" fillId="0" borderId="0" xfId="0" applyNumberFormat="1"/>
    <xf numFmtId="166" fontId="5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1" fillId="0" borderId="0" xfId="0" applyNumberFormat="1" applyFont="1" applyAlignment="1" applyProtection="1">
      <alignment vertical="center"/>
      <protection hidden="1"/>
    </xf>
    <xf numFmtId="190" fontId="1" fillId="0" borderId="7" xfId="5" applyNumberFormat="1" applyFont="1" applyBorder="1" applyAlignment="1" applyProtection="1">
      <alignment vertical="center"/>
      <protection hidden="1"/>
    </xf>
    <xf numFmtId="191" fontId="1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1" fillId="3" borderId="0" xfId="0" applyFont="1" applyFill="1" applyAlignment="1" applyProtection="1">
      <alignment horizontal="left" vertical="center"/>
      <protection hidden="1"/>
    </xf>
    <xf numFmtId="0" fontId="1" fillId="3" borderId="8" xfId="0" applyFont="1" applyFill="1" applyBorder="1" applyAlignment="1" applyProtection="1">
      <alignment horizontal="left" vertical="center"/>
      <protection hidden="1"/>
    </xf>
    <xf numFmtId="166" fontId="5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5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3" fontId="1" fillId="0" borderId="0" xfId="0" applyNumberFormat="1" applyFont="1" applyAlignment="1" applyProtection="1">
      <alignment horizontal="center" vertical="center"/>
      <protection hidden="1"/>
    </xf>
    <xf numFmtId="10" fontId="1" fillId="0" borderId="1" xfId="0" applyNumberFormat="1" applyFont="1" applyBorder="1" applyAlignment="1" applyProtection="1">
      <alignment horizontal="center" vertical="center"/>
      <protection hidden="1"/>
    </xf>
    <xf numFmtId="4" fontId="1" fillId="8" borderId="62" xfId="0" applyNumberFormat="1" applyFont="1" applyFill="1" applyBorder="1" applyAlignment="1" applyProtection="1">
      <alignment horizontal="center" vertical="center"/>
      <protection locked="0"/>
    </xf>
    <xf numFmtId="4" fontId="1" fillId="8" borderId="63" xfId="0" applyNumberFormat="1" applyFont="1" applyFill="1" applyBorder="1" applyAlignment="1" applyProtection="1">
      <alignment horizontal="center" vertical="center"/>
      <protection locked="0"/>
    </xf>
    <xf numFmtId="4" fontId="1" fillId="8" borderId="46" xfId="0" applyNumberFormat="1" applyFont="1" applyFill="1" applyBorder="1" applyAlignment="1" applyProtection="1">
      <alignment horizontal="center" vertical="center"/>
      <protection locked="0"/>
    </xf>
    <xf numFmtId="4" fontId="1" fillId="8" borderId="47" xfId="0" applyNumberFormat="1" applyFont="1" applyFill="1" applyBorder="1" applyAlignment="1" applyProtection="1">
      <alignment horizontal="center" vertical="center"/>
      <protection locked="0"/>
    </xf>
    <xf numFmtId="4" fontId="1" fillId="8" borderId="15" xfId="0" applyNumberFormat="1" applyFont="1" applyFill="1" applyBorder="1" applyAlignment="1" applyProtection="1">
      <alignment horizontal="center" vertical="center"/>
      <protection locked="0"/>
    </xf>
    <xf numFmtId="4" fontId="1" fillId="8" borderId="54" xfId="0" applyNumberFormat="1" applyFont="1" applyFill="1" applyBorder="1" applyAlignment="1" applyProtection="1">
      <alignment horizontal="center" vertical="center"/>
      <protection locked="0"/>
    </xf>
    <xf numFmtId="4" fontId="1" fillId="8" borderId="49" xfId="0" applyNumberFormat="1" applyFont="1" applyFill="1" applyBorder="1" applyAlignment="1" applyProtection="1">
      <alignment horizontal="center" vertical="center"/>
      <protection locked="0"/>
    </xf>
    <xf numFmtId="4" fontId="1" fillId="8" borderId="57" xfId="0" applyNumberFormat="1" applyFont="1" applyFill="1" applyBorder="1" applyAlignment="1" applyProtection="1">
      <alignment horizontal="center" vertical="center"/>
      <protection locked="0"/>
    </xf>
    <xf numFmtId="4" fontId="1" fillId="8" borderId="1" xfId="0" applyNumberFormat="1" applyFont="1" applyFill="1" applyBorder="1" applyAlignment="1" applyProtection="1">
      <alignment horizontal="center" vertical="center"/>
      <protection locked="0"/>
    </xf>
    <xf numFmtId="4" fontId="38" fillId="0" borderId="69" xfId="0" applyNumberFormat="1" applyFont="1" applyBorder="1" applyAlignment="1" applyProtection="1">
      <alignment horizontal="center" vertical="center"/>
      <protection hidden="1"/>
    </xf>
    <xf numFmtId="10" fontId="38" fillId="0" borderId="69" xfId="5" applyNumberFormat="1" applyFont="1" applyBorder="1" applyAlignment="1" applyProtection="1">
      <alignment horizontal="center" vertical="center"/>
      <protection hidden="1"/>
    </xf>
    <xf numFmtId="3" fontId="38" fillId="0" borderId="69" xfId="0" applyNumberFormat="1" applyFont="1" applyBorder="1" applyAlignment="1" applyProtection="1">
      <alignment horizontal="center" vertical="center"/>
      <protection hidden="1"/>
    </xf>
    <xf numFmtId="2" fontId="27" fillId="0" borderId="7" xfId="0" applyNumberFormat="1" applyFont="1" applyBorder="1" applyAlignment="1" applyProtection="1">
      <alignment horizontal="center" vertical="center"/>
      <protection hidden="1"/>
    </xf>
    <xf numFmtId="2" fontId="27" fillId="0" borderId="67" xfId="0" applyNumberFormat="1" applyFont="1" applyBorder="1" applyAlignment="1" applyProtection="1">
      <alignment horizontal="center" vertical="center"/>
      <protection hidden="1"/>
    </xf>
    <xf numFmtId="10" fontId="27" fillId="0" borderId="7" xfId="5" applyNumberFormat="1" applyFont="1" applyBorder="1" applyAlignment="1" applyProtection="1">
      <alignment horizontal="center" vertical="center"/>
      <protection hidden="1"/>
    </xf>
    <xf numFmtId="0" fontId="38" fillId="0" borderId="3" xfId="0" applyFont="1" applyBorder="1" applyAlignment="1" applyProtection="1">
      <alignment horizontal="center" vertical="center"/>
      <protection hidden="1"/>
    </xf>
    <xf numFmtId="0" fontId="38" fillId="0" borderId="65" xfId="0" applyFont="1" applyBorder="1" applyAlignment="1" applyProtection="1">
      <alignment horizontal="center" vertical="center"/>
      <protection hidden="1"/>
    </xf>
    <xf numFmtId="0" fontId="38" fillId="0" borderId="7" xfId="0" applyFont="1" applyBorder="1" applyAlignment="1" applyProtection="1">
      <alignment horizontal="center" vertical="center"/>
      <protection hidden="1"/>
    </xf>
    <xf numFmtId="0" fontId="45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69" fillId="0" borderId="0" xfId="0" applyFont="1" applyAlignment="1" applyProtection="1">
      <alignment horizontal="left" vertical="top"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4" fontId="38" fillId="0" borderId="77" xfId="0" applyNumberFormat="1" applyFont="1" applyBorder="1" applyAlignment="1" applyProtection="1">
      <alignment horizontal="center" vertical="center"/>
      <protection hidden="1"/>
    </xf>
    <xf numFmtId="4" fontId="38" fillId="0" borderId="78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9" fillId="0" borderId="0" xfId="0" applyFont="1" applyAlignment="1" applyProtection="1">
      <alignment vertical="top" wrapText="1"/>
      <protection hidden="1"/>
    </xf>
    <xf numFmtId="0" fontId="18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 applyProtection="1">
      <alignment horizontal="center" vertical="center"/>
      <protection hidden="1"/>
    </xf>
    <xf numFmtId="2" fontId="9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18" fillId="0" borderId="0" xfId="0" applyFont="1" applyAlignment="1" applyProtection="1">
      <alignment vertical="top"/>
      <protection hidden="1"/>
    </xf>
    <xf numFmtId="0" fontId="18" fillId="5" borderId="0" xfId="0" applyFont="1" applyFill="1"/>
    <xf numFmtId="3" fontId="38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9" fillId="6" borderId="1" xfId="0" applyNumberFormat="1" applyFont="1" applyFill="1" applyBorder="1" applyAlignment="1">
      <alignment horizontal="center" vertical="center"/>
    </xf>
    <xf numFmtId="0" fontId="53" fillId="3" borderId="0" xfId="0" applyFont="1" applyFill="1" applyAlignment="1" applyProtection="1">
      <alignment vertical="center"/>
      <protection hidden="1"/>
    </xf>
    <xf numFmtId="0" fontId="49" fillId="3" borderId="4" xfId="1" applyFont="1" applyFill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vertical="center"/>
      <protection hidden="1"/>
    </xf>
    <xf numFmtId="164" fontId="23" fillId="0" borderId="7" xfId="0" applyNumberFormat="1" applyFont="1" applyBorder="1" applyAlignment="1" applyProtection="1">
      <alignment horizontal="left" vertical="center"/>
      <protection hidden="1"/>
    </xf>
    <xf numFmtId="164" fontId="5" fillId="0" borderId="7" xfId="0" applyNumberFormat="1" applyFont="1" applyBorder="1" applyAlignment="1" applyProtection="1">
      <alignment horizontal="left" vertical="center"/>
      <protection hidden="1"/>
    </xf>
    <xf numFmtId="4" fontId="1" fillId="0" borderId="25" xfId="0" applyNumberFormat="1" applyFont="1" applyBorder="1" applyAlignment="1" applyProtection="1">
      <alignment vertical="center"/>
      <protection hidden="1"/>
    </xf>
    <xf numFmtId="4" fontId="21" fillId="0" borderId="19" xfId="0" applyNumberFormat="1" applyFont="1" applyBorder="1" applyAlignment="1" applyProtection="1">
      <alignment vertical="center" wrapText="1"/>
      <protection hidden="1"/>
    </xf>
    <xf numFmtId="4" fontId="21" fillId="0" borderId="20" xfId="0" applyNumberFormat="1" applyFont="1" applyBorder="1" applyAlignment="1" applyProtection="1">
      <alignment vertical="center" wrapText="1"/>
      <protection hidden="1"/>
    </xf>
    <xf numFmtId="4" fontId="1" fillId="0" borderId="7" xfId="0" applyNumberFormat="1" applyFont="1" applyBorder="1" applyAlignment="1" applyProtection="1">
      <alignment vertical="center" wrapText="1"/>
      <protection hidden="1"/>
    </xf>
    <xf numFmtId="4" fontId="1" fillId="0" borderId="69" xfId="0" applyNumberFormat="1" applyFont="1" applyBorder="1" applyAlignment="1" applyProtection="1">
      <alignment vertical="center"/>
      <protection hidden="1"/>
    </xf>
    <xf numFmtId="4" fontId="1" fillId="0" borderId="19" xfId="0" applyNumberFormat="1" applyFont="1" applyBorder="1" applyAlignment="1" applyProtection="1">
      <alignment vertical="center"/>
      <protection hidden="1"/>
    </xf>
    <xf numFmtId="4" fontId="1" fillId="0" borderId="20" xfId="0" applyNumberFormat="1" applyFont="1" applyBorder="1" applyAlignment="1" applyProtection="1">
      <alignment vertical="center"/>
      <protection hidden="1"/>
    </xf>
    <xf numFmtId="4" fontId="1" fillId="0" borderId="29" xfId="0" applyNumberFormat="1" applyFont="1" applyBorder="1" applyAlignment="1" applyProtection="1">
      <alignment horizontal="left" vertical="center"/>
      <protection hidden="1"/>
    </xf>
    <xf numFmtId="4" fontId="1" fillId="0" borderId="24" xfId="0" applyNumberFormat="1" applyFont="1" applyBorder="1" applyAlignment="1" applyProtection="1">
      <alignment horizontal="left" vertical="center"/>
      <protection hidden="1"/>
    </xf>
    <xf numFmtId="4" fontId="1" fillId="0" borderId="20" xfId="0" applyNumberFormat="1" applyFont="1" applyBorder="1" applyAlignment="1" applyProtection="1">
      <alignment horizontal="left" vertical="center"/>
      <protection hidden="1"/>
    </xf>
    <xf numFmtId="4" fontId="1" fillId="0" borderId="90" xfId="0" applyNumberFormat="1" applyFont="1" applyBorder="1" applyAlignment="1" applyProtection="1">
      <alignment horizontal="left" vertical="center"/>
      <protection hidden="1"/>
    </xf>
    <xf numFmtId="4" fontId="21" fillId="0" borderId="91" xfId="0" applyNumberFormat="1" applyFont="1" applyBorder="1" applyAlignment="1" applyProtection="1">
      <alignment vertical="center" wrapText="1"/>
      <protection hidden="1"/>
    </xf>
    <xf numFmtId="10" fontId="22" fillId="0" borderId="0" xfId="0" applyNumberFormat="1" applyFont="1" applyAlignment="1" applyProtection="1">
      <alignment horizontal="center"/>
      <protection hidden="1"/>
    </xf>
    <xf numFmtId="169" fontId="46" fillId="0" borderId="0" xfId="0" applyNumberFormat="1" applyFont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right" vertical="center"/>
      <protection hidden="1"/>
    </xf>
    <xf numFmtId="0" fontId="49" fillId="0" borderId="0" xfId="1" applyFont="1" applyFill="1" applyBorder="1" applyAlignment="1" applyProtection="1">
      <alignment horizontal="center" vertical="center"/>
      <protection hidden="1"/>
    </xf>
    <xf numFmtId="0" fontId="12" fillId="0" borderId="0" xfId="1" applyNumberFormat="1" applyFont="1" applyFill="1" applyBorder="1" applyAlignment="1" applyProtection="1">
      <alignment horizontal="center" vertical="center"/>
      <protection hidden="1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4" fontId="21" fillId="0" borderId="10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3" fontId="5" fillId="0" borderId="10" xfId="3" applyNumberFormat="1" applyFont="1" applyBorder="1" applyAlignment="1" applyProtection="1">
      <alignment horizontal="center" vertical="center"/>
      <protection hidden="1"/>
    </xf>
    <xf numFmtId="165" fontId="20" fillId="0" borderId="28" xfId="3" applyNumberFormat="1" applyFont="1" applyBorder="1" applyAlignment="1" applyProtection="1">
      <alignment horizontal="center"/>
      <protection hidden="1"/>
    </xf>
    <xf numFmtId="167" fontId="5" fillId="0" borderId="10" xfId="3" applyNumberFormat="1" applyFont="1" applyBorder="1" applyAlignment="1" applyProtection="1">
      <alignment horizontal="center" vertical="center"/>
      <protection hidden="1"/>
    </xf>
    <xf numFmtId="4" fontId="1" fillId="0" borderId="28" xfId="3" applyNumberFormat="1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4" fontId="1" fillId="0" borderId="28" xfId="0" applyNumberFormat="1" applyFont="1" applyBorder="1" applyAlignment="1" applyProtection="1">
      <alignment horizontal="center" vertical="center"/>
      <protection locked="0"/>
    </xf>
    <xf numFmtId="170" fontId="1" fillId="0" borderId="28" xfId="0" applyNumberFormat="1" applyFont="1" applyBorder="1" applyAlignment="1" applyProtection="1">
      <alignment horizontal="center" vertical="center"/>
      <protection hidden="1"/>
    </xf>
    <xf numFmtId="193" fontId="74" fillId="0" borderId="19" xfId="0" applyNumberFormat="1" applyFont="1" applyBorder="1" applyAlignment="1" applyProtection="1">
      <alignment horizontal="center" vertical="center"/>
      <protection hidden="1"/>
    </xf>
    <xf numFmtId="193" fontId="74" fillId="0" borderId="66" xfId="0" applyNumberFormat="1" applyFont="1" applyBorder="1" applyAlignment="1" applyProtection="1">
      <alignment horizontal="center" vertical="center"/>
      <protection hidden="1"/>
    </xf>
    <xf numFmtId="193" fontId="74" fillId="3" borderId="66" xfId="0" applyNumberFormat="1" applyFont="1" applyFill="1" applyBorder="1" applyAlignment="1" applyProtection="1">
      <alignment horizontal="center"/>
      <protection hidden="1"/>
    </xf>
    <xf numFmtId="193" fontId="74" fillId="0" borderId="66" xfId="0" applyNumberFormat="1" applyFont="1" applyBorder="1" applyAlignment="1" applyProtection="1">
      <alignment horizontal="center"/>
      <protection hidden="1"/>
    </xf>
    <xf numFmtId="193" fontId="74" fillId="3" borderId="66" xfId="0" applyNumberFormat="1" applyFont="1" applyFill="1" applyBorder="1" applyAlignment="1" applyProtection="1">
      <alignment horizontal="center" vertical="center"/>
      <protection hidden="1"/>
    </xf>
    <xf numFmtId="193" fontId="74" fillId="3" borderId="66" xfId="1" applyNumberFormat="1" applyFont="1" applyFill="1" applyBorder="1" applyAlignment="1" applyProtection="1">
      <alignment horizontal="center" vertical="center"/>
      <protection hidden="1"/>
    </xf>
    <xf numFmtId="193" fontId="74" fillId="3" borderId="32" xfId="1" applyNumberFormat="1" applyFont="1" applyFill="1" applyBorder="1" applyAlignment="1" applyProtection="1">
      <alignment horizontal="center" vertical="center"/>
      <protection hidden="1"/>
    </xf>
    <xf numFmtId="193" fontId="74" fillId="0" borderId="19" xfId="1" applyNumberFormat="1" applyFont="1" applyFill="1" applyBorder="1" applyAlignment="1" applyProtection="1">
      <alignment horizontal="center" vertical="center"/>
      <protection hidden="1"/>
    </xf>
    <xf numFmtId="193" fontId="74" fillId="0" borderId="20" xfId="0" applyNumberFormat="1" applyFont="1" applyBorder="1" applyAlignment="1" applyProtection="1">
      <alignment horizontal="center" vertical="center"/>
      <protection hidden="1"/>
    </xf>
    <xf numFmtId="193" fontId="74" fillId="0" borderId="35" xfId="0" applyNumberFormat="1" applyFont="1" applyBorder="1" applyAlignment="1" applyProtection="1">
      <alignment horizontal="center" vertical="center"/>
      <protection hidden="1"/>
    </xf>
    <xf numFmtId="193" fontId="74" fillId="3" borderId="35" xfId="0" applyNumberFormat="1" applyFont="1" applyFill="1" applyBorder="1" applyAlignment="1" applyProtection="1">
      <alignment horizontal="center"/>
      <protection hidden="1"/>
    </xf>
    <xf numFmtId="193" fontId="74" fillId="0" borderId="35" xfId="0" applyNumberFormat="1" applyFont="1" applyBorder="1" applyAlignment="1" applyProtection="1">
      <alignment horizontal="center"/>
      <protection hidden="1"/>
    </xf>
    <xf numFmtId="193" fontId="74" fillId="3" borderId="35" xfId="0" applyNumberFormat="1" applyFont="1" applyFill="1" applyBorder="1" applyAlignment="1" applyProtection="1">
      <alignment horizontal="center" vertical="center"/>
      <protection hidden="1"/>
    </xf>
    <xf numFmtId="193" fontId="74" fillId="3" borderId="35" xfId="1" applyNumberFormat="1" applyFont="1" applyFill="1" applyBorder="1" applyAlignment="1" applyProtection="1">
      <alignment horizontal="center" vertical="center"/>
      <protection hidden="1"/>
    </xf>
    <xf numFmtId="193" fontId="74" fillId="3" borderId="33" xfId="1" applyNumberFormat="1" applyFont="1" applyFill="1" applyBorder="1" applyAlignment="1" applyProtection="1">
      <alignment horizontal="center" vertical="center"/>
      <protection hidden="1"/>
    </xf>
    <xf numFmtId="193" fontId="74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0" borderId="20" xfId="0" applyNumberFormat="1" applyFont="1" applyBorder="1" applyAlignment="1" applyProtection="1">
      <alignment horizontal="center" vertical="center"/>
      <protection hidden="1"/>
    </xf>
    <xf numFmtId="165" fontId="12" fillId="0" borderId="35" xfId="0" applyNumberFormat="1" applyFont="1" applyBorder="1" applyAlignment="1" applyProtection="1">
      <alignment horizontal="center" vertical="center"/>
      <protection hidden="1"/>
    </xf>
    <xf numFmtId="165" fontId="12" fillId="3" borderId="35" xfId="0" applyNumberFormat="1" applyFont="1" applyFill="1" applyBorder="1" applyAlignment="1" applyProtection="1">
      <alignment horizontal="center"/>
      <protection hidden="1"/>
    </xf>
    <xf numFmtId="165" fontId="12" fillId="0" borderId="35" xfId="0" applyNumberFormat="1" applyFont="1" applyBorder="1" applyAlignment="1" applyProtection="1">
      <alignment horizontal="center"/>
      <protection hidden="1"/>
    </xf>
    <xf numFmtId="165" fontId="12" fillId="3" borderId="35" xfId="0" applyNumberFormat="1" applyFont="1" applyFill="1" applyBorder="1" applyAlignment="1" applyProtection="1">
      <alignment horizontal="center" vertical="center"/>
      <protection hidden="1"/>
    </xf>
    <xf numFmtId="165" fontId="12" fillId="3" borderId="35" xfId="1" applyNumberFormat="1" applyFont="1" applyFill="1" applyBorder="1" applyAlignment="1" applyProtection="1">
      <alignment horizontal="center" vertical="center"/>
      <protection hidden="1"/>
    </xf>
    <xf numFmtId="165" fontId="12" fillId="3" borderId="33" xfId="1" applyNumberFormat="1" applyFont="1" applyFill="1" applyBorder="1" applyAlignment="1" applyProtection="1">
      <alignment horizontal="center" vertical="center"/>
      <protection hidden="1"/>
    </xf>
    <xf numFmtId="165" fontId="12" fillId="0" borderId="20" xfId="1" applyNumberFormat="1" applyFont="1" applyFill="1" applyBorder="1" applyAlignment="1" applyProtection="1">
      <alignment horizontal="center" vertical="center"/>
      <protection hidden="1"/>
    </xf>
    <xf numFmtId="165" fontId="11" fillId="20" borderId="20" xfId="0" applyNumberFormat="1" applyFont="1" applyFill="1" applyBorder="1" applyAlignment="1" applyProtection="1">
      <alignment horizontal="center" vertical="center"/>
      <protection hidden="1"/>
    </xf>
    <xf numFmtId="164" fontId="75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5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5" fillId="9" borderId="18" xfId="0" applyNumberFormat="1" applyFont="1" applyFill="1" applyBorder="1" applyAlignment="1" applyProtection="1">
      <alignment horizontal="left" vertical="center" indent="1"/>
      <protection hidden="1"/>
    </xf>
    <xf numFmtId="4" fontId="21" fillId="0" borderId="59" xfId="0" applyNumberFormat="1" applyFont="1" applyBorder="1" applyAlignment="1" applyProtection="1">
      <alignment horizontal="center" vertical="center"/>
      <protection hidden="1"/>
    </xf>
    <xf numFmtId="4" fontId="21" fillId="0" borderId="60" xfId="0" applyNumberFormat="1" applyFont="1" applyBorder="1" applyAlignment="1" applyProtection="1">
      <alignment horizontal="center" vertical="center"/>
      <protection hidden="1"/>
    </xf>
    <xf numFmtId="4" fontId="21" fillId="0" borderId="58" xfId="0" applyNumberFormat="1" applyFont="1" applyBorder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horizontal="center"/>
      <protection hidden="1"/>
    </xf>
    <xf numFmtId="0" fontId="76" fillId="0" borderId="0" xfId="0" applyFont="1" applyAlignment="1" applyProtection="1">
      <alignment horizontal="center" textRotation="180"/>
      <protection hidden="1"/>
    </xf>
    <xf numFmtId="0" fontId="76" fillId="0" borderId="0" xfId="0" applyFont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horizontal="center" vertical="top"/>
      <protection hidden="1"/>
    </xf>
    <xf numFmtId="0" fontId="77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3" fillId="0" borderId="0" xfId="0" applyFont="1"/>
    <xf numFmtId="0" fontId="0" fillId="11" borderId="0" xfId="0" applyFill="1" applyAlignment="1">
      <alignment horizontal="center"/>
    </xf>
    <xf numFmtId="0" fontId="18" fillId="11" borderId="0" xfId="0" applyFont="1" applyFill="1" applyAlignment="1">
      <alignment horizontal="left"/>
    </xf>
    <xf numFmtId="0" fontId="9" fillId="11" borderId="1" xfId="0" applyFont="1" applyFill="1" applyBorder="1"/>
    <xf numFmtId="183" fontId="9" fillId="11" borderId="1" xfId="0" applyNumberFormat="1" applyFont="1" applyFill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hidden="1"/>
    </xf>
    <xf numFmtId="166" fontId="70" fillId="0" borderId="66" xfId="0" applyNumberFormat="1" applyFont="1" applyBorder="1" applyAlignment="1" applyProtection="1">
      <alignment horizontal="centerContinuous" vertical="center"/>
      <protection hidden="1"/>
    </xf>
    <xf numFmtId="166" fontId="5" fillId="0" borderId="66" xfId="0" applyNumberFormat="1" applyFont="1" applyBorder="1" applyAlignment="1" applyProtection="1">
      <alignment horizontal="centerContinuous" vertical="center"/>
      <protection hidden="1"/>
    </xf>
    <xf numFmtId="166" fontId="70" fillId="0" borderId="32" xfId="0" applyNumberFormat="1" applyFont="1" applyBorder="1" applyAlignment="1" applyProtection="1">
      <alignment horizontal="centerContinuous" vertical="center"/>
      <protection hidden="1"/>
    </xf>
    <xf numFmtId="166" fontId="70" fillId="0" borderId="19" xfId="0" applyNumberFormat="1" applyFont="1" applyBorder="1" applyAlignment="1" applyProtection="1">
      <alignment horizontal="centerContinuous" vertical="center"/>
      <protection hidden="1"/>
    </xf>
    <xf numFmtId="0" fontId="21" fillId="3" borderId="33" xfId="0" applyFont="1" applyFill="1" applyBorder="1" applyAlignment="1" applyProtection="1">
      <alignment horizontal="center" vertical="center"/>
      <protection hidden="1"/>
    </xf>
    <xf numFmtId="174" fontId="7" fillId="3" borderId="8" xfId="0" applyNumberFormat="1" applyFont="1" applyFill="1" applyBorder="1" applyAlignment="1" applyProtection="1">
      <alignment vertical="center"/>
      <protection hidden="1"/>
    </xf>
    <xf numFmtId="174" fontId="7" fillId="3" borderId="0" xfId="0" applyNumberFormat="1" applyFont="1" applyFill="1" applyAlignment="1" applyProtection="1">
      <alignment vertical="center"/>
      <protection hidden="1"/>
    </xf>
    <xf numFmtId="174" fontId="7" fillId="3" borderId="2" xfId="0" applyNumberFormat="1" applyFont="1" applyFill="1" applyBorder="1" applyAlignment="1" applyProtection="1">
      <alignment vertical="center"/>
      <protection hidden="1"/>
    </xf>
    <xf numFmtId="0" fontId="22" fillId="3" borderId="30" xfId="0" applyFont="1" applyFill="1" applyBorder="1" applyAlignment="1" applyProtection="1">
      <alignment vertical="center"/>
      <protection hidden="1"/>
    </xf>
    <xf numFmtId="0" fontId="22" fillId="3" borderId="21" xfId="0" applyFont="1" applyFill="1" applyBorder="1" applyAlignment="1" applyProtection="1">
      <alignment vertical="center"/>
      <protection hidden="1"/>
    </xf>
    <xf numFmtId="0" fontId="21" fillId="3" borderId="19" xfId="0" applyFont="1" applyFill="1" applyBorder="1" applyAlignment="1" applyProtection="1">
      <alignment vertical="center" wrapText="1"/>
      <protection hidden="1"/>
    </xf>
    <xf numFmtId="0" fontId="1" fillId="3" borderId="20" xfId="0" applyFont="1" applyFill="1" applyBorder="1" applyAlignment="1" applyProtection="1">
      <alignment vertical="center" wrapText="1"/>
      <protection hidden="1"/>
    </xf>
    <xf numFmtId="0" fontId="1" fillId="3" borderId="17" xfId="0" applyFont="1" applyFill="1" applyBorder="1" applyAlignment="1" applyProtection="1">
      <alignment horizontal="left" vertical="center" indent="1"/>
      <protection hidden="1"/>
    </xf>
    <xf numFmtId="0" fontId="1" fillId="3" borderId="8" xfId="0" applyFont="1" applyFill="1" applyBorder="1" applyAlignment="1" applyProtection="1">
      <alignment horizontal="left" vertical="center" indent="1"/>
      <protection hidden="1"/>
    </xf>
    <xf numFmtId="0" fontId="21" fillId="3" borderId="25" xfId="0" applyFont="1" applyFill="1" applyBorder="1" applyAlignment="1" applyProtection="1">
      <alignment horizontal="center" vertical="center"/>
      <protection hidden="1"/>
    </xf>
    <xf numFmtId="0" fontId="21" fillId="3" borderId="29" xfId="0" applyFont="1" applyFill="1" applyBorder="1" applyAlignment="1" applyProtection="1">
      <alignment horizontal="left" vertical="center"/>
      <protection hidden="1"/>
    </xf>
    <xf numFmtId="0" fontId="21" fillId="3" borderId="20" xfId="0" applyFont="1" applyFill="1" applyBorder="1" applyAlignment="1" applyProtection="1">
      <alignment vertical="center"/>
      <protection hidden="1"/>
    </xf>
    <xf numFmtId="0" fontId="21" fillId="3" borderId="24" xfId="0" applyFont="1" applyFill="1" applyBorder="1" applyAlignment="1" applyProtection="1">
      <alignment vertical="center"/>
      <protection hidden="1"/>
    </xf>
    <xf numFmtId="0" fontId="21" fillId="3" borderId="9" xfId="0" applyFont="1" applyFill="1" applyBorder="1" applyAlignment="1" applyProtection="1">
      <alignment vertical="center"/>
      <protection hidden="1"/>
    </xf>
    <xf numFmtId="0" fontId="21" fillId="3" borderId="10" xfId="0" applyFont="1" applyFill="1" applyBorder="1" applyAlignment="1" applyProtection="1">
      <alignment horizontal="center" vertical="center"/>
      <protection hidden="1"/>
    </xf>
    <xf numFmtId="0" fontId="21" fillId="3" borderId="17" xfId="0" applyFont="1" applyFill="1" applyBorder="1" applyAlignment="1" applyProtection="1">
      <alignment vertical="center"/>
      <protection hidden="1"/>
    </xf>
    <xf numFmtId="0" fontId="21" fillId="3" borderId="29" xfId="0" applyFont="1" applyFill="1" applyBorder="1" applyAlignment="1" applyProtection="1">
      <alignment vertical="center"/>
      <protection hidden="1"/>
    </xf>
    <xf numFmtId="0" fontId="21" fillId="3" borderId="24" xfId="0" applyFont="1" applyFill="1" applyBorder="1" applyAlignment="1" applyProtection="1">
      <alignment vertical="center" wrapText="1"/>
      <protection hidden="1"/>
    </xf>
    <xf numFmtId="166" fontId="1" fillId="3" borderId="0" xfId="0" applyNumberFormat="1" applyFont="1" applyFill="1" applyAlignment="1" applyProtection="1">
      <alignment horizontal="right" vertical="center" indent="1"/>
      <protection hidden="1"/>
    </xf>
    <xf numFmtId="166" fontId="1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5" xfId="0" applyNumberFormat="1" applyFont="1" applyFill="1" applyBorder="1" applyAlignment="1" applyProtection="1">
      <alignment horizontal="right" vertical="center" indent="1"/>
      <protection hidden="1"/>
    </xf>
    <xf numFmtId="0" fontId="5" fillId="3" borderId="0" xfId="0" applyFont="1" applyFill="1" applyAlignment="1" applyProtection="1">
      <alignment vertical="center"/>
      <protection hidden="1"/>
    </xf>
    <xf numFmtId="172" fontId="12" fillId="3" borderId="0" xfId="0" applyNumberFormat="1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top"/>
      <protection hidden="1"/>
    </xf>
    <xf numFmtId="0" fontId="2" fillId="0" borderId="0" xfId="0" quotePrefix="1" applyFont="1" applyProtection="1">
      <protection hidden="1"/>
    </xf>
    <xf numFmtId="0" fontId="69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1" fillId="3" borderId="7" xfId="0" applyFont="1" applyFill="1" applyBorder="1" applyAlignment="1" applyProtection="1">
      <alignment vertical="center"/>
      <protection hidden="1"/>
    </xf>
    <xf numFmtId="0" fontId="9" fillId="25" borderId="0" xfId="0" applyFont="1" applyFill="1"/>
    <xf numFmtId="0" fontId="9" fillId="26" borderId="0" xfId="0" applyFont="1" applyFill="1"/>
    <xf numFmtId="0" fontId="9" fillId="27" borderId="0" xfId="0" applyFont="1" applyFill="1"/>
    <xf numFmtId="0" fontId="53" fillId="28" borderId="0" xfId="0" applyFont="1" applyFill="1"/>
    <xf numFmtId="0" fontId="53" fillId="29" borderId="0" xfId="0" applyFont="1" applyFill="1"/>
    <xf numFmtId="0" fontId="0" fillId="27" borderId="0" xfId="0" applyFill="1"/>
    <xf numFmtId="164" fontId="23" fillId="0" borderId="1" xfId="0" applyNumberFormat="1" applyFont="1" applyBorder="1" applyAlignment="1" applyProtection="1">
      <alignment horizontal="left" vertical="center"/>
      <protection hidden="1"/>
    </xf>
    <xf numFmtId="10" fontId="38" fillId="0" borderId="91" xfId="5" applyNumberFormat="1" applyFont="1" applyBorder="1" applyAlignment="1" applyProtection="1">
      <alignment horizontal="center" vertical="center"/>
      <protection hidden="1"/>
    </xf>
    <xf numFmtId="0" fontId="12" fillId="30" borderId="0" xfId="0" applyFont="1" applyFill="1" applyProtection="1">
      <protection hidden="1"/>
    </xf>
    <xf numFmtId="0" fontId="38" fillId="30" borderId="7" xfId="0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80" fillId="0" borderId="0" xfId="0" applyFont="1"/>
    <xf numFmtId="0" fontId="12" fillId="30" borderId="0" xfId="0" applyFont="1" applyFill="1"/>
    <xf numFmtId="2" fontId="1" fillId="0" borderId="1" xfId="0" applyNumberFormat="1" applyFont="1" applyBorder="1" applyAlignment="1" applyProtection="1">
      <alignment horizontal="right" vertical="center"/>
      <protection hidden="1"/>
    </xf>
    <xf numFmtId="10" fontId="1" fillId="6" borderId="7" xfId="5" applyNumberFormat="1" applyFont="1" applyFill="1" applyBorder="1" applyAlignment="1" applyProtection="1">
      <alignment vertical="center"/>
      <protection hidden="1"/>
    </xf>
    <xf numFmtId="2" fontId="27" fillId="21" borderId="7" xfId="0" applyNumberFormat="1" applyFont="1" applyFill="1" applyBorder="1" applyAlignment="1">
      <alignment horizontal="center" vertical="center"/>
    </xf>
    <xf numFmtId="2" fontId="27" fillId="21" borderId="67" xfId="0" applyNumberFormat="1" applyFont="1" applyFill="1" applyBorder="1" applyAlignment="1">
      <alignment horizontal="center" vertical="center"/>
    </xf>
    <xf numFmtId="10" fontId="27" fillId="21" borderId="7" xfId="5" applyNumberFormat="1" applyFont="1" applyFill="1" applyBorder="1" applyAlignment="1" applyProtection="1">
      <alignment horizontal="center" vertical="center"/>
      <protection hidden="1"/>
    </xf>
    <xf numFmtId="0" fontId="36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center"/>
    </xf>
    <xf numFmtId="4" fontId="21" fillId="0" borderId="42" xfId="0" applyNumberFormat="1" applyFont="1" applyBorder="1" applyAlignment="1" applyProtection="1">
      <alignment vertical="center" wrapText="1"/>
      <protection hidden="1"/>
    </xf>
    <xf numFmtId="4" fontId="5" fillId="0" borderId="0" xfId="0" applyNumberFormat="1" applyFont="1" applyAlignment="1" applyProtection="1">
      <alignment horizontal="left"/>
      <protection hidden="1"/>
    </xf>
    <xf numFmtId="4" fontId="1" fillId="0" borderId="10" xfId="0" applyNumberFormat="1" applyFont="1" applyBorder="1" applyAlignment="1" applyProtection="1">
      <alignment horizontal="center" vertical="center"/>
      <protection hidden="1"/>
    </xf>
    <xf numFmtId="0" fontId="38" fillId="0" borderId="18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Protection="1">
      <protection hidden="1"/>
    </xf>
    <xf numFmtId="20" fontId="1" fillId="0" borderId="0" xfId="0" applyNumberFormat="1" applyFont="1" applyProtection="1">
      <protection hidden="1"/>
    </xf>
    <xf numFmtId="0" fontId="21" fillId="0" borderId="92" xfId="0" applyFont="1" applyBorder="1" applyAlignment="1" applyProtection="1">
      <alignment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vertical="center"/>
      <protection hidden="1"/>
    </xf>
    <xf numFmtId="0" fontId="21" fillId="0" borderId="6" xfId="0" applyFont="1" applyBorder="1" applyAlignment="1" applyProtection="1">
      <alignment horizontal="center" vertical="center"/>
      <protection hidden="1"/>
    </xf>
    <xf numFmtId="14" fontId="9" fillId="35" borderId="0" xfId="0" applyNumberFormat="1" applyFont="1" applyFill="1" applyAlignment="1">
      <alignment horizontal="left" vertical="center" wrapText="1"/>
    </xf>
    <xf numFmtId="3" fontId="9" fillId="0" borderId="1" xfId="0" applyNumberFormat="1" applyFont="1" applyBorder="1" applyAlignment="1">
      <alignment horizontal="right"/>
    </xf>
    <xf numFmtId="166" fontId="1" fillId="0" borderId="8" xfId="0" applyNumberFormat="1" applyFont="1" applyBorder="1" applyAlignment="1" applyProtection="1">
      <alignment vertical="center"/>
      <protection hidden="1"/>
    </xf>
    <xf numFmtId="166" fontId="1" fillId="0" borderId="0" xfId="0" applyNumberFormat="1" applyFont="1" applyAlignment="1" applyProtection="1">
      <alignment vertical="center"/>
      <protection hidden="1"/>
    </xf>
    <xf numFmtId="0" fontId="18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1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1" fillId="0" borderId="27" xfId="0" applyNumberFormat="1" applyFont="1" applyBorder="1" applyAlignment="1" applyProtection="1">
      <alignment horizontal="left" vertical="center"/>
      <protection hidden="1"/>
    </xf>
    <xf numFmtId="4" fontId="1" fillId="0" borderId="17" xfId="0" applyNumberFormat="1" applyFont="1" applyBorder="1" applyAlignment="1" applyProtection="1">
      <alignment horizontal="left" vertical="center"/>
      <protection hidden="1"/>
    </xf>
    <xf numFmtId="4" fontId="1" fillId="8" borderId="43" xfId="0" applyNumberFormat="1" applyFont="1" applyFill="1" applyBorder="1" applyAlignment="1" applyProtection="1">
      <alignment horizontal="center" vertical="center"/>
      <protection locked="0"/>
    </xf>
    <xf numFmtId="4" fontId="1" fillId="8" borderId="44" xfId="0" applyNumberFormat="1" applyFont="1" applyFill="1" applyBorder="1" applyAlignment="1" applyProtection="1">
      <alignment horizontal="center" vertical="center"/>
      <protection locked="0"/>
    </xf>
    <xf numFmtId="4" fontId="1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5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7" fillId="0" borderId="2" xfId="0" applyFont="1" applyBorder="1" applyProtection="1">
      <protection hidden="1"/>
    </xf>
    <xf numFmtId="0" fontId="85" fillId="0" borderId="2" xfId="0" applyFont="1" applyBorder="1" applyProtection="1">
      <protection hidden="1"/>
    </xf>
    <xf numFmtId="0" fontId="85" fillId="0" borderId="0" xfId="0" applyFont="1" applyProtection="1"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6" fillId="5" borderId="0" xfId="0" applyFont="1" applyFill="1" applyAlignment="1">
      <alignment horizontal="left" vertical="top"/>
    </xf>
    <xf numFmtId="0" fontId="30" fillId="0" borderId="30" xfId="0" applyFont="1" applyBorder="1" applyAlignment="1" applyProtection="1">
      <alignment vertical="center"/>
      <protection hidden="1"/>
    </xf>
    <xf numFmtId="0" fontId="1" fillId="0" borderId="23" xfId="0" applyFont="1" applyBorder="1" applyAlignment="1" applyProtection="1">
      <alignment vertical="center"/>
      <protection hidden="1"/>
    </xf>
    <xf numFmtId="0" fontId="1" fillId="0" borderId="35" xfId="0" applyFont="1" applyBorder="1" applyAlignment="1" applyProtection="1">
      <alignment vertical="center"/>
      <protection hidden="1"/>
    </xf>
    <xf numFmtId="0" fontId="5" fillId="0" borderId="24" xfId="0" applyFont="1" applyBorder="1" applyAlignment="1" applyProtection="1">
      <alignment horizontal="left" vertical="center" indent="2"/>
      <protection hidden="1"/>
    </xf>
    <xf numFmtId="0" fontId="5" fillId="0" borderId="23" xfId="0" applyFont="1" applyBorder="1" applyAlignment="1" applyProtection="1">
      <alignment horizontal="left" vertical="center" indent="1"/>
      <protection hidden="1"/>
    </xf>
    <xf numFmtId="170" fontId="9" fillId="8" borderId="7" xfId="0" applyNumberFormat="1" applyFont="1" applyFill="1" applyBorder="1" applyAlignment="1" applyProtection="1">
      <alignment horizontal="right" vertical="center"/>
      <protection locked="0" hidden="1"/>
    </xf>
    <xf numFmtId="170" fontId="9" fillId="8" borderId="3" xfId="0" applyNumberFormat="1" applyFont="1" applyFill="1" applyBorder="1" applyAlignment="1" applyProtection="1">
      <alignment horizontal="right" vertical="center"/>
      <protection locked="0" hidden="1"/>
    </xf>
    <xf numFmtId="170" fontId="9" fillId="8" borderId="4" xfId="0" applyNumberFormat="1" applyFont="1" applyFill="1" applyBorder="1" applyAlignment="1" applyProtection="1">
      <alignment horizontal="right" vertical="center"/>
      <protection locked="0" hidden="1"/>
    </xf>
    <xf numFmtId="170" fontId="9" fillId="0" borderId="7" xfId="0" applyNumberFormat="1" applyFont="1" applyBorder="1" applyAlignment="1" applyProtection="1">
      <alignment horizontal="right" vertical="center"/>
      <protection hidden="1"/>
    </xf>
    <xf numFmtId="170" fontId="9" fillId="0" borderId="3" xfId="0" applyNumberFormat="1" applyFont="1" applyBorder="1" applyAlignment="1" applyProtection="1">
      <alignment horizontal="right" vertical="center"/>
      <protection hidden="1"/>
    </xf>
    <xf numFmtId="170" fontId="9" fillId="0" borderId="4" xfId="0" applyNumberFormat="1" applyFont="1" applyBorder="1" applyAlignment="1" applyProtection="1">
      <alignment horizontal="right" vertical="center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6" fillId="0" borderId="72" xfId="0" applyNumberFormat="1" applyFont="1" applyBorder="1" applyAlignment="1" applyProtection="1">
      <alignment horizontal="left" vertical="center"/>
      <protection hidden="1"/>
    </xf>
    <xf numFmtId="175" fontId="36" fillId="0" borderId="73" xfId="0" applyNumberFormat="1" applyFont="1" applyBorder="1" applyAlignment="1" applyProtection="1">
      <alignment horizontal="left" vertical="center"/>
      <protection hidden="1"/>
    </xf>
    <xf numFmtId="14" fontId="49" fillId="0" borderId="75" xfId="0" applyNumberFormat="1" applyFont="1" applyBorder="1" applyAlignment="1" applyProtection="1">
      <alignment horizontal="center"/>
      <protection hidden="1"/>
    </xf>
    <xf numFmtId="10" fontId="9" fillId="8" borderId="7" xfId="5" applyNumberFormat="1" applyFont="1" applyFill="1" applyBorder="1" applyAlignment="1" applyProtection="1">
      <alignment horizontal="right" vertical="center"/>
      <protection locked="0" hidden="1"/>
    </xf>
    <xf numFmtId="10" fontId="9" fillId="8" borderId="3" xfId="5" applyNumberFormat="1" applyFont="1" applyFill="1" applyBorder="1" applyAlignment="1" applyProtection="1">
      <alignment horizontal="right" vertical="center"/>
      <protection locked="0" hidden="1"/>
    </xf>
    <xf numFmtId="10" fontId="9" fillId="8" borderId="4" xfId="5" applyNumberFormat="1" applyFont="1" applyFill="1" applyBorder="1" applyAlignment="1" applyProtection="1">
      <alignment horizontal="right" vertical="center"/>
      <protection locked="0"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8" fillId="8" borderId="7" xfId="0" applyFont="1" applyFill="1" applyBorder="1" applyAlignment="1" applyProtection="1">
      <alignment horizontal="center" vertical="center"/>
      <protection locked="0" hidden="1"/>
    </xf>
    <xf numFmtId="0" fontId="18" fillId="8" borderId="3" xfId="0" applyFont="1" applyFill="1" applyBorder="1" applyAlignment="1" applyProtection="1">
      <alignment horizontal="center" vertical="center"/>
      <protection locked="0" hidden="1"/>
    </xf>
    <xf numFmtId="0" fontId="18" fillId="8" borderId="4" xfId="0" applyFont="1" applyFill="1" applyBorder="1" applyAlignment="1" applyProtection="1">
      <alignment horizontal="center" vertical="center"/>
      <protection locked="0" hidden="1"/>
    </xf>
    <xf numFmtId="0" fontId="0" fillId="8" borderId="0" xfId="0" applyFill="1" applyAlignment="1" applyProtection="1">
      <alignment horizontal="center" vertical="center"/>
      <protection locked="0" hidden="1"/>
    </xf>
    <xf numFmtId="0" fontId="50" fillId="0" borderId="75" xfId="0" applyFont="1" applyBorder="1" applyAlignment="1" applyProtection="1">
      <alignment horizontal="left"/>
      <protection hidden="1"/>
    </xf>
    <xf numFmtId="0" fontId="50" fillId="0" borderId="76" xfId="0" applyFont="1" applyBorder="1" applyAlignment="1" applyProtection="1">
      <alignment horizontal="left"/>
      <protection hidden="1"/>
    </xf>
    <xf numFmtId="10" fontId="9" fillId="0" borderId="8" xfId="5" applyNumberFormat="1" applyFont="1" applyFill="1" applyBorder="1" applyAlignment="1" applyProtection="1">
      <alignment horizontal="right" vertical="center"/>
      <protection hidden="1"/>
    </xf>
    <xf numFmtId="0" fontId="0" fillId="6" borderId="86" xfId="0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14" fontId="9" fillId="11" borderId="0" xfId="0" applyNumberFormat="1" applyFont="1" applyFill="1" applyAlignment="1">
      <alignment horizontal="left" vertical="center" indent="1"/>
    </xf>
    <xf numFmtId="0" fontId="0" fillId="11" borderId="0" xfId="0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24" fillId="0" borderId="0" xfId="0" applyFont="1" applyAlignment="1" applyProtection="1">
      <alignment horizontal="left" vertical="top" wrapText="1"/>
      <protection hidden="1"/>
    </xf>
    <xf numFmtId="0" fontId="63" fillId="5" borderId="0" xfId="0" applyFont="1" applyFill="1" applyAlignment="1">
      <alignment horizontal="center" vertical="center"/>
    </xf>
    <xf numFmtId="0" fontId="5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64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8" fillId="11" borderId="0" xfId="0" applyFont="1" applyFill="1" applyAlignment="1">
      <alignment horizontal="left" vertical="center"/>
    </xf>
    <xf numFmtId="0" fontId="9" fillId="9" borderId="7" xfId="0" applyFont="1" applyFill="1" applyBorder="1" applyAlignment="1">
      <alignment horizontal="left"/>
    </xf>
    <xf numFmtId="0" fontId="9" fillId="9" borderId="3" xfId="0" applyFont="1" applyFill="1" applyBorder="1" applyAlignment="1">
      <alignment horizontal="left"/>
    </xf>
    <xf numFmtId="0" fontId="9" fillId="9" borderId="4" xfId="0" applyFont="1" applyFill="1" applyBorder="1" applyAlignment="1">
      <alignment horizontal="left"/>
    </xf>
    <xf numFmtId="0" fontId="9" fillId="21" borderId="7" xfId="0" applyFont="1" applyFill="1" applyBorder="1" applyAlignment="1">
      <alignment horizontal="left"/>
    </xf>
    <xf numFmtId="0" fontId="9" fillId="21" borderId="3" xfId="0" applyFont="1" applyFill="1" applyBorder="1" applyAlignment="1">
      <alignment horizontal="left"/>
    </xf>
    <xf numFmtId="0" fontId="9" fillId="21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9" fillId="31" borderId="7" xfId="0" applyFont="1" applyFill="1" applyBorder="1" applyAlignment="1">
      <alignment horizontal="left" vertical="center" indent="1"/>
    </xf>
    <xf numFmtId="0" fontId="9" fillId="31" borderId="3" xfId="0" applyFont="1" applyFill="1" applyBorder="1" applyAlignment="1">
      <alignment horizontal="left" vertical="center" indent="1"/>
    </xf>
    <xf numFmtId="0" fontId="9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9" fillId="32" borderId="7" xfId="0" applyFont="1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0" fillId="32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21" borderId="7" xfId="0" applyFont="1" applyFill="1" applyBorder="1" applyAlignment="1">
      <alignment horizontal="left" vertical="center"/>
    </xf>
    <xf numFmtId="0" fontId="9" fillId="21" borderId="3" xfId="0" applyFont="1" applyFill="1" applyBorder="1" applyAlignment="1">
      <alignment horizontal="left" vertical="center"/>
    </xf>
    <xf numFmtId="0" fontId="9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9" fillId="36" borderId="7" xfId="0" applyFont="1" applyFill="1" applyBorder="1" applyAlignment="1">
      <alignment horizontal="left" vertical="center"/>
    </xf>
    <xf numFmtId="0" fontId="9" fillId="36" borderId="3" xfId="0" applyFont="1" applyFill="1" applyBorder="1" applyAlignment="1">
      <alignment horizontal="left" vertical="center"/>
    </xf>
    <xf numFmtId="0" fontId="9" fillId="36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9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9" fillId="11" borderId="3" xfId="0" applyFont="1" applyFill="1" applyBorder="1" applyAlignment="1">
      <alignment horizontal="left"/>
    </xf>
    <xf numFmtId="0" fontId="9" fillId="11" borderId="4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 indent="1"/>
    </xf>
    <xf numFmtId="0" fontId="9" fillId="6" borderId="3" xfId="0" applyFont="1" applyFill="1" applyBorder="1" applyAlignment="1">
      <alignment horizontal="left" indent="1"/>
    </xf>
    <xf numFmtId="0" fontId="9" fillId="6" borderId="4" xfId="0" applyFont="1" applyFill="1" applyBorder="1" applyAlignment="1">
      <alignment horizontal="left" indent="1"/>
    </xf>
    <xf numFmtId="0" fontId="0" fillId="6" borderId="7" xfId="0" applyFill="1" applyBorder="1" applyAlignment="1">
      <alignment horizontal="left"/>
    </xf>
    <xf numFmtId="0" fontId="18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8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right"/>
    </xf>
    <xf numFmtId="0" fontId="12" fillId="11" borderId="1" xfId="0" applyFont="1" applyFill="1" applyBorder="1" applyAlignment="1">
      <alignment horizontal="left" vertical="center" indent="1"/>
    </xf>
    <xf numFmtId="0" fontId="69" fillId="5" borderId="1" xfId="0" applyFont="1" applyFill="1" applyBorder="1" applyAlignment="1">
      <alignment horizontal="center"/>
    </xf>
    <xf numFmtId="0" fontId="69" fillId="5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/>
    </xf>
    <xf numFmtId="0" fontId="24" fillId="0" borderId="0" xfId="0" applyFont="1" applyAlignment="1" applyProtection="1">
      <alignment horizontal="left" vertical="center" wrapText="1"/>
      <protection hidden="1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9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9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9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9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9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9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9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4" fillId="0" borderId="0" xfId="0" applyNumberFormat="1" applyFont="1" applyAlignment="1" applyProtection="1">
      <alignment horizontal="center" vertical="center"/>
      <protection hidden="1"/>
    </xf>
    <xf numFmtId="170" fontId="9" fillId="8" borderId="17" xfId="0" applyNumberFormat="1" applyFont="1" applyFill="1" applyBorder="1" applyAlignment="1" applyProtection="1">
      <alignment horizontal="right" vertical="center"/>
      <protection locked="0"/>
    </xf>
    <xf numFmtId="170" fontId="9" fillId="8" borderId="8" xfId="0" applyNumberFormat="1" applyFont="1" applyFill="1" applyBorder="1" applyAlignment="1" applyProtection="1">
      <alignment horizontal="right" vertical="center"/>
      <protection locked="0"/>
    </xf>
    <xf numFmtId="170" fontId="9" fillId="8" borderId="25" xfId="0" applyNumberFormat="1" applyFont="1" applyFill="1" applyBorder="1" applyAlignment="1" applyProtection="1">
      <alignment horizontal="right" vertical="center"/>
      <protection locked="0"/>
    </xf>
    <xf numFmtId="0" fontId="9" fillId="8" borderId="7" xfId="0" applyFont="1" applyFill="1" applyBorder="1" applyAlignment="1" applyProtection="1">
      <alignment horizontal="left" vertical="center"/>
      <protection locked="0" hidden="1"/>
    </xf>
    <xf numFmtId="0" fontId="9" fillId="8" borderId="3" xfId="0" applyFont="1" applyFill="1" applyBorder="1" applyAlignment="1" applyProtection="1">
      <alignment horizontal="left" vertical="center"/>
      <protection locked="0" hidden="1"/>
    </xf>
    <xf numFmtId="0" fontId="9" fillId="8" borderId="4" xfId="0" applyFont="1" applyFill="1" applyBorder="1" applyAlignment="1" applyProtection="1">
      <alignment horizontal="left" vertical="center"/>
      <protection locked="0" hidden="1"/>
    </xf>
    <xf numFmtId="0" fontId="9" fillId="8" borderId="3" xfId="0" applyFont="1" applyFill="1" applyBorder="1" applyAlignment="1" applyProtection="1">
      <alignment horizontal="left" vertical="center" shrinkToFit="1"/>
      <protection locked="0" hidden="1"/>
    </xf>
    <xf numFmtId="0" fontId="9" fillId="8" borderId="4" xfId="0" applyFont="1" applyFill="1" applyBorder="1" applyAlignment="1" applyProtection="1">
      <alignment horizontal="left" vertical="center" shrinkToFit="1"/>
      <protection locked="0" hidden="1"/>
    </xf>
    <xf numFmtId="0" fontId="24" fillId="0" borderId="0" xfId="0" applyFont="1" applyAlignment="1" applyProtection="1">
      <alignment horizontal="left" vertical="top"/>
      <protection hidden="1"/>
    </xf>
    <xf numFmtId="0" fontId="38" fillId="0" borderId="3" xfId="0" applyFont="1" applyBorder="1" applyAlignment="1" applyProtection="1">
      <alignment horizontal="center" vertical="center"/>
      <protection hidden="1"/>
    </xf>
    <xf numFmtId="0" fontId="38" fillId="0" borderId="4" xfId="0" applyFont="1" applyBorder="1" applyAlignment="1" applyProtection="1">
      <alignment horizontal="center" vertical="center"/>
      <protection hidden="1"/>
    </xf>
    <xf numFmtId="2" fontId="27" fillId="0" borderId="7" xfId="0" applyNumberFormat="1" applyFont="1" applyBorder="1" applyAlignment="1" applyProtection="1">
      <alignment horizontal="center" vertical="center"/>
      <protection hidden="1"/>
    </xf>
    <xf numFmtId="2" fontId="27" fillId="0" borderId="4" xfId="0" applyNumberFormat="1" applyFont="1" applyBorder="1" applyAlignment="1" applyProtection="1">
      <alignment horizontal="center" vertical="center"/>
      <protection hidden="1"/>
    </xf>
    <xf numFmtId="170" fontId="9" fillId="8" borderId="7" xfId="0" applyNumberFormat="1" applyFont="1" applyFill="1" applyBorder="1" applyAlignment="1" applyProtection="1">
      <alignment horizontal="right" vertical="center"/>
      <protection locked="0"/>
    </xf>
    <xf numFmtId="170" fontId="9" fillId="8" borderId="3" xfId="0" applyNumberFormat="1" applyFont="1" applyFill="1" applyBorder="1" applyAlignment="1" applyProtection="1">
      <alignment horizontal="right" vertical="center"/>
      <protection locked="0"/>
    </xf>
    <xf numFmtId="170" fontId="9" fillId="8" borderId="4" xfId="0" applyNumberFormat="1" applyFont="1" applyFill="1" applyBorder="1" applyAlignment="1" applyProtection="1">
      <alignment horizontal="right" vertical="center"/>
      <protection locked="0"/>
    </xf>
    <xf numFmtId="0" fontId="38" fillId="0" borderId="65" xfId="0" applyFont="1" applyBorder="1" applyAlignment="1" applyProtection="1">
      <alignment horizontal="center" vertical="center"/>
      <protection hidden="1"/>
    </xf>
    <xf numFmtId="2" fontId="27" fillId="8" borderId="7" xfId="0" applyNumberFormat="1" applyFont="1" applyFill="1" applyBorder="1" applyAlignment="1" applyProtection="1">
      <alignment horizontal="center" vertical="center"/>
      <protection locked="0"/>
    </xf>
    <xf numFmtId="2" fontId="27" fillId="8" borderId="4" xfId="0" applyNumberFormat="1" applyFont="1" applyFill="1" applyBorder="1" applyAlignment="1" applyProtection="1">
      <alignment horizontal="center" vertical="center"/>
      <protection locked="0"/>
    </xf>
    <xf numFmtId="0" fontId="38" fillId="0" borderId="7" xfId="0" applyFont="1" applyBorder="1" applyAlignment="1" applyProtection="1">
      <alignment horizontal="center" vertical="center"/>
      <protection hidden="1"/>
    </xf>
    <xf numFmtId="10" fontId="27" fillId="0" borderId="7" xfId="5" applyNumberFormat="1" applyFont="1" applyBorder="1" applyAlignment="1" applyProtection="1">
      <alignment horizontal="center" vertical="center"/>
      <protection hidden="1"/>
    </xf>
    <xf numFmtId="10" fontId="27" fillId="0" borderId="4" xfId="5" applyNumberFormat="1" applyFont="1" applyBorder="1" applyAlignment="1" applyProtection="1">
      <alignment horizontal="center" vertical="center"/>
      <protection hidden="1"/>
    </xf>
    <xf numFmtId="0" fontId="9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24" fillId="3" borderId="2" xfId="0" applyFont="1" applyFill="1" applyBorder="1" applyAlignment="1" applyProtection="1">
      <alignment horizontal="left" vertical="top" wrapText="1"/>
      <protection hidden="1"/>
    </xf>
    <xf numFmtId="0" fontId="34" fillId="3" borderId="2" xfId="0" applyFont="1" applyFill="1" applyBorder="1" applyAlignment="1" applyProtection="1">
      <alignment horizontal="right" vertical="top"/>
      <protection hidden="1"/>
    </xf>
    <xf numFmtId="0" fontId="69" fillId="0" borderId="0" xfId="0" applyFont="1" applyAlignment="1" applyProtection="1">
      <alignment horizontal="left" vertical="top" wrapText="1"/>
      <protection hidden="1"/>
    </xf>
    <xf numFmtId="170" fontId="83" fillId="11" borderId="87" xfId="0" applyNumberFormat="1" applyFont="1" applyFill="1" applyBorder="1" applyAlignment="1" applyProtection="1">
      <alignment horizontal="right" vertical="center"/>
      <protection hidden="1"/>
    </xf>
    <xf numFmtId="170" fontId="83" fillId="11" borderId="88" xfId="0" applyNumberFormat="1" applyFont="1" applyFill="1" applyBorder="1" applyAlignment="1" applyProtection="1">
      <alignment horizontal="right" vertical="center"/>
      <protection hidden="1"/>
    </xf>
    <xf numFmtId="170" fontId="83" fillId="11" borderId="89" xfId="0" applyNumberFormat="1" applyFont="1" applyFill="1" applyBorder="1" applyAlignment="1" applyProtection="1">
      <alignment horizontal="right" vertical="center"/>
      <protection hidden="1"/>
    </xf>
    <xf numFmtId="0" fontId="72" fillId="8" borderId="1" xfId="0" applyFont="1" applyFill="1" applyBorder="1" applyAlignment="1" applyProtection="1">
      <alignment horizontal="center" vertical="center" wrapText="1"/>
      <protection locked="0" hidden="1"/>
    </xf>
    <xf numFmtId="4" fontId="38" fillId="0" borderId="69" xfId="0" applyNumberFormat="1" applyFont="1" applyBorder="1" applyAlignment="1" applyProtection="1">
      <alignment horizontal="center" vertical="center"/>
      <protection hidden="1"/>
    </xf>
    <xf numFmtId="4" fontId="38" fillId="0" borderId="70" xfId="0" applyNumberFormat="1" applyFont="1" applyBorder="1" applyAlignment="1" applyProtection="1">
      <alignment horizontal="center" vertical="center"/>
      <protection hidden="1"/>
    </xf>
    <xf numFmtId="2" fontId="27" fillId="0" borderId="67" xfId="0" applyNumberFormat="1" applyFont="1" applyBorder="1" applyAlignment="1" applyProtection="1">
      <alignment horizontal="center" vertical="center"/>
      <protection hidden="1"/>
    </xf>
    <xf numFmtId="2" fontId="27" fillId="0" borderId="11" xfId="0" applyNumberFormat="1" applyFont="1" applyBorder="1" applyAlignment="1" applyProtection="1">
      <alignment horizontal="center" vertical="center"/>
      <protection hidden="1"/>
    </xf>
    <xf numFmtId="10" fontId="27" fillId="0" borderId="67" xfId="5" applyNumberFormat="1" applyFont="1" applyBorder="1" applyAlignment="1" applyProtection="1">
      <alignment horizontal="center" vertical="center"/>
      <protection hidden="1"/>
    </xf>
    <xf numFmtId="10" fontId="27" fillId="0" borderId="11" xfId="5" applyNumberFormat="1" applyFont="1" applyBorder="1" applyAlignment="1" applyProtection="1">
      <alignment horizontal="center" vertical="center"/>
      <protection hidden="1"/>
    </xf>
    <xf numFmtId="10" fontId="38" fillId="0" borderId="69" xfId="5" applyNumberFormat="1" applyFont="1" applyBorder="1" applyAlignment="1" applyProtection="1">
      <alignment horizontal="center" vertical="center"/>
      <protection hidden="1"/>
    </xf>
    <xf numFmtId="10" fontId="38" fillId="0" borderId="70" xfId="5" applyNumberFormat="1" applyFont="1" applyBorder="1" applyAlignment="1" applyProtection="1">
      <alignment horizontal="center" vertical="center"/>
      <protection hidden="1"/>
    </xf>
    <xf numFmtId="20" fontId="27" fillId="9" borderId="17" xfId="0" applyNumberFormat="1" applyFont="1" applyFill="1" applyBorder="1" applyAlignment="1" applyProtection="1">
      <alignment horizontal="center" vertical="center"/>
      <protection locked="0"/>
    </xf>
    <xf numFmtId="20" fontId="27" fillId="9" borderId="25" xfId="0" applyNumberFormat="1" applyFont="1" applyFill="1" applyBorder="1" applyAlignment="1" applyProtection="1">
      <alignment horizontal="center" vertical="center"/>
      <protection locked="0"/>
    </xf>
    <xf numFmtId="20" fontId="27" fillId="9" borderId="5" xfId="0" applyNumberFormat="1" applyFont="1" applyFill="1" applyBorder="1" applyAlignment="1" applyProtection="1">
      <alignment horizontal="center" vertical="center"/>
      <protection locked="0"/>
    </xf>
    <xf numFmtId="20" fontId="27" fillId="9" borderId="6" xfId="0" applyNumberFormat="1" applyFont="1" applyFill="1" applyBorder="1" applyAlignment="1" applyProtection="1">
      <alignment horizontal="center" vertical="center"/>
      <protection locked="0"/>
    </xf>
    <xf numFmtId="20" fontId="27" fillId="11" borderId="17" xfId="0" applyNumberFormat="1" applyFont="1" applyFill="1" applyBorder="1" applyAlignment="1">
      <alignment horizontal="center" vertical="center"/>
    </xf>
    <xf numFmtId="20" fontId="27" fillId="11" borderId="25" xfId="0" applyNumberFormat="1" applyFont="1" applyFill="1" applyBorder="1" applyAlignment="1">
      <alignment horizontal="center" vertical="center"/>
    </xf>
    <xf numFmtId="20" fontId="27" fillId="11" borderId="5" xfId="0" applyNumberFormat="1" applyFont="1" applyFill="1" applyBorder="1" applyAlignment="1">
      <alignment horizontal="center" vertical="center"/>
    </xf>
    <xf numFmtId="20" fontId="27" fillId="11" borderId="6" xfId="0" applyNumberFormat="1" applyFont="1" applyFill="1" applyBorder="1" applyAlignment="1">
      <alignment horizontal="center" vertical="center"/>
    </xf>
    <xf numFmtId="0" fontId="38" fillId="0" borderId="17" xfId="0" applyFont="1" applyBorder="1" applyAlignment="1" applyProtection="1">
      <alignment horizontal="center" vertical="center" wrapText="1"/>
      <protection hidden="1"/>
    </xf>
    <xf numFmtId="0" fontId="38" fillId="0" borderId="25" xfId="0" applyFont="1" applyBorder="1" applyAlignment="1" applyProtection="1">
      <alignment horizontal="center" vertical="center"/>
      <protection hidden="1"/>
    </xf>
    <xf numFmtId="0" fontId="38" fillId="0" borderId="5" xfId="0" applyFont="1" applyBorder="1" applyAlignment="1" applyProtection="1">
      <alignment horizontal="center" vertical="center"/>
      <protection hidden="1"/>
    </xf>
    <xf numFmtId="0" fontId="38" fillId="0" borderId="6" xfId="0" applyFont="1" applyBorder="1" applyAlignment="1" applyProtection="1">
      <alignment horizontal="center" vertical="center"/>
      <protection hidden="1"/>
    </xf>
    <xf numFmtId="2" fontId="27" fillId="11" borderId="17" xfId="0" applyNumberFormat="1" applyFont="1" applyFill="1" applyBorder="1" applyAlignment="1">
      <alignment horizontal="center" vertical="center"/>
    </xf>
    <xf numFmtId="2" fontId="27" fillId="11" borderId="25" xfId="0" applyNumberFormat="1" applyFont="1" applyFill="1" applyBorder="1" applyAlignment="1">
      <alignment horizontal="center" vertical="center"/>
    </xf>
    <xf numFmtId="2" fontId="27" fillId="11" borderId="5" xfId="0" applyNumberFormat="1" applyFont="1" applyFill="1" applyBorder="1" applyAlignment="1">
      <alignment horizontal="center" vertical="center"/>
    </xf>
    <xf numFmtId="2" fontId="27" fillId="11" borderId="6" xfId="0" applyNumberFormat="1" applyFont="1" applyFill="1" applyBorder="1" applyAlignment="1">
      <alignment horizontal="center" vertical="center"/>
    </xf>
    <xf numFmtId="2" fontId="27" fillId="9" borderId="17" xfId="0" applyNumberFormat="1" applyFont="1" applyFill="1" applyBorder="1" applyAlignment="1" applyProtection="1">
      <alignment horizontal="center" vertical="center"/>
      <protection locked="0"/>
    </xf>
    <xf numFmtId="2" fontId="27" fillId="9" borderId="25" xfId="0" applyNumberFormat="1" applyFont="1" applyFill="1" applyBorder="1" applyAlignment="1" applyProtection="1">
      <alignment horizontal="center" vertical="center"/>
      <protection locked="0"/>
    </xf>
    <xf numFmtId="2" fontId="27" fillId="9" borderId="5" xfId="0" applyNumberFormat="1" applyFont="1" applyFill="1" applyBorder="1" applyAlignment="1" applyProtection="1">
      <alignment horizontal="center" vertical="center"/>
      <protection locked="0"/>
    </xf>
    <xf numFmtId="2" fontId="27" fillId="9" borderId="6" xfId="0" applyNumberFormat="1" applyFont="1" applyFill="1" applyBorder="1" applyAlignment="1" applyProtection="1">
      <alignment horizontal="center" vertical="center"/>
      <protection locked="0"/>
    </xf>
    <xf numFmtId="10" fontId="27" fillId="11" borderId="17" xfId="0" applyNumberFormat="1" applyFont="1" applyFill="1" applyBorder="1" applyAlignment="1">
      <alignment horizontal="center" vertical="center"/>
    </xf>
    <xf numFmtId="10" fontId="27" fillId="11" borderId="25" xfId="0" applyNumberFormat="1" applyFont="1" applyFill="1" applyBorder="1" applyAlignment="1">
      <alignment horizontal="center" vertical="center"/>
    </xf>
    <xf numFmtId="10" fontId="27" fillId="11" borderId="5" xfId="0" applyNumberFormat="1" applyFont="1" applyFill="1" applyBorder="1" applyAlignment="1">
      <alignment horizontal="center" vertical="center"/>
    </xf>
    <xf numFmtId="10" fontId="27" fillId="11" borderId="6" xfId="0" applyNumberFormat="1" applyFont="1" applyFill="1" applyBorder="1" applyAlignment="1">
      <alignment horizontal="center" vertical="center"/>
    </xf>
    <xf numFmtId="10" fontId="27" fillId="9" borderId="17" xfId="0" applyNumberFormat="1" applyFont="1" applyFill="1" applyBorder="1" applyAlignment="1" applyProtection="1">
      <alignment horizontal="center" vertical="center"/>
      <protection locked="0"/>
    </xf>
    <xf numFmtId="10" fontId="27" fillId="9" borderId="25" xfId="0" applyNumberFormat="1" applyFont="1" applyFill="1" applyBorder="1" applyAlignment="1" applyProtection="1">
      <alignment horizontal="center" vertical="center"/>
      <protection locked="0"/>
    </xf>
    <xf numFmtId="10" fontId="27" fillId="9" borderId="5" xfId="0" applyNumberFormat="1" applyFont="1" applyFill="1" applyBorder="1" applyAlignment="1" applyProtection="1">
      <alignment horizontal="center" vertical="center"/>
      <protection locked="0"/>
    </xf>
    <xf numFmtId="10" fontId="27" fillId="9" borderId="6" xfId="0" applyNumberFormat="1" applyFont="1" applyFill="1" applyBorder="1" applyAlignment="1" applyProtection="1">
      <alignment horizontal="center" vertical="center"/>
      <protection locked="0"/>
    </xf>
    <xf numFmtId="0" fontId="1" fillId="8" borderId="7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176" fontId="4" fillId="0" borderId="20" xfId="0" applyNumberFormat="1" applyFont="1" applyBorder="1" applyAlignment="1" applyProtection="1">
      <alignment horizontal="center" vertical="center"/>
      <protection hidden="1"/>
    </xf>
    <xf numFmtId="176" fontId="4" fillId="0" borderId="33" xfId="0" applyNumberFormat="1" applyFont="1" applyBorder="1" applyAlignment="1" applyProtection="1">
      <alignment horizontal="center" vertical="center"/>
      <protection hidden="1"/>
    </xf>
    <xf numFmtId="172" fontId="13" fillId="0" borderId="20" xfId="0" applyNumberFormat="1" applyFont="1" applyBorder="1" applyAlignment="1" applyProtection="1">
      <alignment horizontal="center" vertical="center"/>
      <protection hidden="1"/>
    </xf>
    <xf numFmtId="172" fontId="13" fillId="0" borderId="35" xfId="0" applyNumberFormat="1" applyFont="1" applyBorder="1" applyAlignment="1" applyProtection="1">
      <alignment horizontal="center" vertical="center"/>
      <protection hidden="1"/>
    </xf>
    <xf numFmtId="172" fontId="13" fillId="0" borderId="33" xfId="0" applyNumberFormat="1" applyFont="1" applyBorder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3" xfId="0" applyFont="1" applyBorder="1" applyAlignment="1" applyProtection="1">
      <alignment horizontal="left" vertical="center"/>
      <protection hidden="1"/>
    </xf>
    <xf numFmtId="0" fontId="15" fillId="0" borderId="4" xfId="0" applyFont="1" applyBorder="1" applyAlignment="1" applyProtection="1">
      <alignment horizontal="left" vertical="center"/>
      <protection hidden="1"/>
    </xf>
    <xf numFmtId="192" fontId="15" fillId="0" borderId="7" xfId="0" applyNumberFormat="1" applyFont="1" applyBorder="1" applyAlignment="1" applyProtection="1">
      <alignment horizontal="center" vertical="center"/>
      <protection hidden="1"/>
    </xf>
    <xf numFmtId="192" fontId="15" fillId="0" borderId="4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6" fillId="0" borderId="0" xfId="0" applyFont="1" applyAlignment="1" applyProtection="1">
      <alignment horizontal="center" textRotation="90"/>
      <protection hidden="1"/>
    </xf>
    <xf numFmtId="2" fontId="85" fillId="0" borderId="2" xfId="0" applyNumberFormat="1" applyFont="1" applyBorder="1" applyAlignment="1" applyProtection="1">
      <alignment horizontal="center"/>
      <protection hidden="1"/>
    </xf>
    <xf numFmtId="0" fontId="45" fillId="3" borderId="0" xfId="0" applyFont="1" applyFill="1" applyAlignment="1" applyProtection="1">
      <alignment horizontal="left" vertical="center"/>
      <protection hidden="1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25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3" fillId="0" borderId="4" xfId="0" applyFont="1" applyBorder="1" applyAlignment="1" applyProtection="1">
      <alignment horizontal="left" vertical="center"/>
      <protection hidden="1"/>
    </xf>
    <xf numFmtId="168" fontId="4" fillId="0" borderId="9" xfId="0" applyNumberFormat="1" applyFont="1" applyBorder="1" applyAlignment="1" applyProtection="1">
      <alignment horizontal="center" vertical="center"/>
      <protection hidden="1"/>
    </xf>
    <xf numFmtId="168" fontId="4" fillId="0" borderId="10" xfId="0" applyNumberFormat="1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25" xfId="0" applyFont="1" applyBorder="1" applyAlignment="1" applyProtection="1">
      <alignment horizontal="center" vertical="center"/>
      <protection hidden="1"/>
    </xf>
    <xf numFmtId="169" fontId="46" fillId="3" borderId="3" xfId="0" applyNumberFormat="1" applyFont="1" applyFill="1" applyBorder="1" applyAlignment="1" applyProtection="1">
      <alignment horizontal="right" vertical="center"/>
      <protection hidden="1"/>
    </xf>
    <xf numFmtId="169" fontId="46" fillId="3" borderId="4" xfId="0" applyNumberFormat="1" applyFont="1" applyFill="1" applyBorder="1" applyAlignment="1" applyProtection="1">
      <alignment horizontal="right" vertical="center"/>
      <protection hidden="1"/>
    </xf>
    <xf numFmtId="10" fontId="22" fillId="0" borderId="2" xfId="0" applyNumberFormat="1" applyFont="1" applyBorder="1" applyAlignment="1" applyProtection="1">
      <alignment horizontal="center"/>
      <protection hidden="1"/>
    </xf>
    <xf numFmtId="197" fontId="85" fillId="0" borderId="2" xfId="0" applyNumberFormat="1" applyFont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166" fontId="1" fillId="3" borderId="23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32" xfId="0" applyNumberFormat="1" applyFont="1" applyFill="1" applyBorder="1" applyAlignment="1" applyProtection="1">
      <alignment horizontal="right" vertical="center" indent="1"/>
      <protection hidden="1"/>
    </xf>
    <xf numFmtId="0" fontId="1" fillId="3" borderId="35" xfId="0" applyFont="1" applyFill="1" applyBorder="1" applyAlignment="1" applyProtection="1">
      <alignment horizontal="left" vertical="center" wrapText="1"/>
      <protection hidden="1"/>
    </xf>
    <xf numFmtId="0" fontId="1" fillId="3" borderId="33" xfId="0" applyFont="1" applyFill="1" applyBorder="1" applyAlignment="1" applyProtection="1">
      <alignment horizontal="left" vertical="center" wrapText="1"/>
      <protection hidden="1"/>
    </xf>
    <xf numFmtId="170" fontId="1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33" xfId="0" applyNumberFormat="1" applyFont="1" applyFill="1" applyBorder="1" applyAlignment="1" applyProtection="1">
      <alignment horizontal="right" vertical="center" indent="1"/>
      <protection hidden="1"/>
    </xf>
    <xf numFmtId="0" fontId="32" fillId="3" borderId="2" xfId="1" applyFont="1" applyFill="1" applyBorder="1" applyAlignment="1" applyProtection="1">
      <alignment horizontal="center"/>
      <protection locked="0"/>
    </xf>
    <xf numFmtId="10" fontId="1" fillId="3" borderId="3" xfId="5" applyNumberFormat="1" applyFont="1" applyFill="1" applyBorder="1" applyAlignment="1" applyProtection="1">
      <alignment horizontal="center" vertical="center"/>
      <protection hidden="1"/>
    </xf>
    <xf numFmtId="10" fontId="1" fillId="3" borderId="4" xfId="5" applyNumberFormat="1" applyFont="1" applyFill="1" applyBorder="1" applyAlignment="1" applyProtection="1">
      <alignment horizontal="center" vertical="center"/>
      <protection hidden="1"/>
    </xf>
    <xf numFmtId="0" fontId="21" fillId="3" borderId="2" xfId="0" applyFont="1" applyFill="1" applyBorder="1" applyAlignment="1" applyProtection="1">
      <alignment horizontal="left" vertical="top" wrapText="1"/>
      <protection hidden="1"/>
    </xf>
    <xf numFmtId="0" fontId="21" fillId="3" borderId="2" xfId="0" applyFont="1" applyFill="1" applyBorder="1" applyAlignment="1" applyProtection="1">
      <alignment horizontal="left" vertical="top"/>
      <protection hidden="1"/>
    </xf>
    <xf numFmtId="174" fontId="47" fillId="0" borderId="17" xfId="0" applyNumberFormat="1" applyFont="1" applyBorder="1" applyAlignment="1" applyProtection="1">
      <alignment horizontal="left" vertical="center" indent="1"/>
      <protection hidden="1"/>
    </xf>
    <xf numFmtId="174" fontId="47" fillId="0" borderId="8" xfId="0" applyNumberFormat="1" applyFont="1" applyBorder="1" applyAlignment="1" applyProtection="1">
      <alignment horizontal="left" vertical="center" indent="1"/>
      <protection hidden="1"/>
    </xf>
    <xf numFmtId="174" fontId="47" fillId="0" borderId="9" xfId="0" applyNumberFormat="1" applyFont="1" applyBorder="1" applyAlignment="1" applyProtection="1">
      <alignment horizontal="left" vertical="center" indent="1"/>
      <protection hidden="1"/>
    </xf>
    <xf numFmtId="174" fontId="47" fillId="0" borderId="0" xfId="0" applyNumberFormat="1" applyFont="1" applyAlignment="1" applyProtection="1">
      <alignment horizontal="left" vertical="center" indent="1"/>
      <protection hidden="1"/>
    </xf>
    <xf numFmtId="174" fontId="47" fillId="0" borderId="5" xfId="0" applyNumberFormat="1" applyFont="1" applyBorder="1" applyAlignment="1" applyProtection="1">
      <alignment horizontal="left" vertical="center" indent="1"/>
      <protection hidden="1"/>
    </xf>
    <xf numFmtId="174" fontId="47" fillId="0" borderId="2" xfId="0" applyNumberFormat="1" applyFont="1" applyBorder="1" applyAlignment="1" applyProtection="1">
      <alignment horizontal="left" vertical="center" indent="1"/>
      <protection hidden="1"/>
    </xf>
    <xf numFmtId="0" fontId="68" fillId="3" borderId="8" xfId="0" applyFont="1" applyFill="1" applyBorder="1" applyAlignment="1" applyProtection="1">
      <alignment horizontal="center" vertical="center" shrinkToFit="1"/>
      <protection hidden="1"/>
    </xf>
    <xf numFmtId="0" fontId="68" fillId="3" borderId="0" xfId="0" applyFont="1" applyFill="1" applyAlignment="1" applyProtection="1">
      <alignment horizontal="center" vertical="center" shrinkToFit="1"/>
      <protection hidden="1"/>
    </xf>
    <xf numFmtId="0" fontId="68" fillId="3" borderId="2" xfId="0" applyFont="1" applyFill="1" applyBorder="1" applyAlignment="1" applyProtection="1">
      <alignment horizontal="center" vertical="center" shrinkToFit="1"/>
      <protection hidden="1"/>
    </xf>
    <xf numFmtId="0" fontId="23" fillId="3" borderId="9" xfId="0" applyFont="1" applyFill="1" applyBorder="1" applyAlignment="1" applyProtection="1">
      <alignment horizontal="left" vertical="top"/>
      <protection hidden="1"/>
    </xf>
    <xf numFmtId="0" fontId="23" fillId="3" borderId="0" xfId="0" applyFont="1" applyFill="1" applyAlignment="1" applyProtection="1">
      <alignment horizontal="left" vertical="top"/>
      <protection hidden="1"/>
    </xf>
    <xf numFmtId="0" fontId="23" fillId="3" borderId="10" xfId="0" applyFont="1" applyFill="1" applyBorder="1" applyAlignment="1" applyProtection="1">
      <alignment horizontal="left" vertical="top"/>
      <protection hidden="1"/>
    </xf>
    <xf numFmtId="0" fontId="23" fillId="3" borderId="5" xfId="0" applyFont="1" applyFill="1" applyBorder="1" applyAlignment="1" applyProtection="1">
      <alignment horizontal="left" vertical="top"/>
      <protection hidden="1"/>
    </xf>
    <xf numFmtId="0" fontId="23" fillId="3" borderId="2" xfId="0" applyFont="1" applyFill="1" applyBorder="1" applyAlignment="1" applyProtection="1">
      <alignment horizontal="left" vertical="top"/>
      <protection hidden="1"/>
    </xf>
    <xf numFmtId="0" fontId="23" fillId="3" borderId="6" xfId="0" applyFont="1" applyFill="1" applyBorder="1" applyAlignment="1" applyProtection="1">
      <alignment horizontal="left" vertical="top"/>
      <protection hidden="1"/>
    </xf>
    <xf numFmtId="4" fontId="9" fillId="17" borderId="4" xfId="1" applyNumberFormat="1" applyFont="1" applyFill="1" applyBorder="1" applyAlignment="1" applyProtection="1">
      <alignment horizontal="center" vertical="center"/>
      <protection hidden="1"/>
    </xf>
    <xf numFmtId="4" fontId="9" fillId="17" borderId="1" xfId="1" applyNumberFormat="1" applyFont="1" applyFill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left" vertical="center"/>
      <protection hidden="1"/>
    </xf>
    <xf numFmtId="0" fontId="22" fillId="0" borderId="4" xfId="0" applyFont="1" applyBorder="1" applyAlignment="1" applyProtection="1">
      <alignment horizontal="left" vertical="center"/>
      <protection hidden="1"/>
    </xf>
    <xf numFmtId="0" fontId="20" fillId="3" borderId="7" xfId="0" applyFont="1" applyFill="1" applyBorder="1" applyAlignment="1" applyProtection="1">
      <alignment horizontal="left" vertical="center"/>
      <protection hidden="1"/>
    </xf>
    <xf numFmtId="0" fontId="20" fillId="3" borderId="3" xfId="0" applyFont="1" applyFill="1" applyBorder="1" applyAlignment="1" applyProtection="1">
      <alignment horizontal="left" vertical="center"/>
      <protection hidden="1"/>
    </xf>
    <xf numFmtId="0" fontId="20" fillId="3" borderId="4" xfId="0" applyFont="1" applyFill="1" applyBorder="1" applyAlignment="1" applyProtection="1">
      <alignment horizontal="left" vertical="center"/>
      <protection hidden="1"/>
    </xf>
    <xf numFmtId="4" fontId="8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8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1" fillId="3" borderId="7" xfId="5" applyNumberFormat="1" applyFont="1" applyFill="1" applyBorder="1" applyAlignment="1" applyProtection="1">
      <alignment horizontal="center" vertical="center"/>
      <protection hidden="1"/>
    </xf>
    <xf numFmtId="10" fontId="21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1" fillId="3" borderId="4" xfId="5" applyNumberFormat="1" applyFont="1" applyFill="1" applyBorder="1" applyAlignment="1" applyProtection="1">
      <alignment horizontal="center" vertical="center" wrapText="1"/>
      <protection hidden="1"/>
    </xf>
    <xf numFmtId="170" fontId="1" fillId="3" borderId="3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32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32" xfId="0" applyNumberFormat="1" applyFont="1" applyFill="1" applyBorder="1" applyAlignment="1" applyProtection="1">
      <alignment horizontal="right" vertical="center" indent="1"/>
      <protection hidden="1"/>
    </xf>
    <xf numFmtId="0" fontId="1" fillId="3" borderId="66" xfId="0" applyFont="1" applyFill="1" applyBorder="1" applyAlignment="1" applyProtection="1">
      <alignment horizontal="left" vertical="center" wrapText="1"/>
      <protection hidden="1"/>
    </xf>
    <xf numFmtId="0" fontId="1" fillId="3" borderId="32" xfId="0" applyFont="1" applyFill="1" applyBorder="1" applyAlignment="1" applyProtection="1">
      <alignment horizontal="left" vertical="center" wrapText="1"/>
      <protection hidden="1"/>
    </xf>
    <xf numFmtId="170" fontId="1" fillId="3" borderId="66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1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1" xfId="0" applyNumberFormat="1" applyFont="1" applyFill="1" applyBorder="1" applyAlignment="1" applyProtection="1">
      <alignment horizontal="right" vertical="center" indent="1"/>
      <protection hidden="1"/>
    </xf>
    <xf numFmtId="0" fontId="1" fillId="3" borderId="17" xfId="0" applyFont="1" applyFill="1" applyBorder="1" applyAlignment="1" applyProtection="1">
      <alignment horizontal="right" vertical="center" indent="1"/>
      <protection hidden="1"/>
    </xf>
    <xf numFmtId="0" fontId="1" fillId="3" borderId="25" xfId="0" applyFont="1" applyFill="1" applyBorder="1" applyAlignment="1" applyProtection="1">
      <alignment horizontal="right" vertical="center" indent="1"/>
      <protection hidden="1"/>
    </xf>
    <xf numFmtId="0" fontId="21" fillId="3" borderId="17" xfId="0" applyFont="1" applyFill="1" applyBorder="1" applyAlignment="1" applyProtection="1">
      <alignment horizontal="right" vertical="center" indent="1"/>
      <protection hidden="1"/>
    </xf>
    <xf numFmtId="0" fontId="21" fillId="3" borderId="25" xfId="0" applyFont="1" applyFill="1" applyBorder="1" applyAlignment="1" applyProtection="1">
      <alignment horizontal="right" vertical="center" indent="1"/>
      <protection hidden="1"/>
    </xf>
    <xf numFmtId="166" fontId="1" fillId="3" borderId="30" xfId="0" applyNumberFormat="1" applyFont="1" applyFill="1" applyBorder="1" applyAlignment="1" applyProtection="1">
      <alignment horizontal="right" vertical="center" indent="1"/>
      <protection hidden="1"/>
    </xf>
    <xf numFmtId="0" fontId="1" fillId="3" borderId="8" xfId="0" applyFont="1" applyFill="1" applyBorder="1" applyAlignment="1" applyProtection="1">
      <alignment horizontal="right" vertical="center" indent="1"/>
      <protection hidden="1"/>
    </xf>
    <xf numFmtId="0" fontId="5" fillId="3" borderId="24" xfId="0" applyFont="1" applyFill="1" applyBorder="1" applyAlignment="1" applyProtection="1">
      <alignment horizontal="left" vertical="center" indent="1"/>
      <protection hidden="1"/>
    </xf>
    <xf numFmtId="0" fontId="5" fillId="3" borderId="23" xfId="0" applyFont="1" applyFill="1" applyBorder="1" applyAlignment="1" applyProtection="1">
      <alignment horizontal="left" vertical="center" indent="1"/>
      <protection hidden="1"/>
    </xf>
    <xf numFmtId="166" fontId="1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40" fillId="0" borderId="24" xfId="0" applyNumberFormat="1" applyFont="1" applyBorder="1" applyAlignment="1" applyProtection="1">
      <alignment horizontal="right" vertical="center" indent="1"/>
      <protection hidden="1"/>
    </xf>
    <xf numFmtId="166" fontId="40" fillId="0" borderId="22" xfId="0" applyNumberFormat="1" applyFont="1" applyBorder="1" applyAlignment="1" applyProtection="1">
      <alignment horizontal="righ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166" fontId="1" fillId="3" borderId="20" xfId="0" applyNumberFormat="1" applyFont="1" applyFill="1" applyBorder="1" applyAlignment="1" applyProtection="1">
      <alignment horizontal="right" vertical="center" indent="1"/>
      <protection hidden="1"/>
    </xf>
    <xf numFmtId="0" fontId="5" fillId="3" borderId="20" xfId="0" applyFont="1" applyFill="1" applyBorder="1" applyAlignment="1" applyProtection="1">
      <alignment horizontal="left" vertical="center" indent="1"/>
      <protection hidden="1"/>
    </xf>
    <xf numFmtId="0" fontId="5" fillId="3" borderId="35" xfId="0" applyFont="1" applyFill="1" applyBorder="1" applyAlignment="1" applyProtection="1">
      <alignment horizontal="left" vertical="center" indent="1"/>
      <protection hidden="1"/>
    </xf>
    <xf numFmtId="166" fontId="21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1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30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35" xfId="0" applyNumberFormat="1" applyFont="1" applyFill="1" applyBorder="1" applyAlignment="1" applyProtection="1">
      <alignment horizontal="right" vertical="center" indent="1"/>
      <protection hidden="1"/>
    </xf>
    <xf numFmtId="0" fontId="1" fillId="3" borderId="30" xfId="0" applyFont="1" applyFill="1" applyBorder="1" applyAlignment="1" applyProtection="1">
      <alignment horizontal="left" vertical="center"/>
      <protection hidden="1"/>
    </xf>
    <xf numFmtId="0" fontId="21" fillId="3" borderId="7" xfId="0" applyFont="1" applyFill="1" applyBorder="1" applyAlignment="1" applyProtection="1">
      <alignment horizontal="left" vertical="center" wrapText="1"/>
      <protection hidden="1"/>
    </xf>
    <xf numFmtId="0" fontId="21" fillId="3" borderId="3" xfId="0" applyFont="1" applyFill="1" applyBorder="1" applyAlignment="1" applyProtection="1">
      <alignment horizontal="left" vertical="center" wrapText="1"/>
      <protection hidden="1"/>
    </xf>
    <xf numFmtId="0" fontId="21" fillId="3" borderId="4" xfId="0" applyFont="1" applyFill="1" applyBorder="1" applyAlignment="1" applyProtection="1">
      <alignment horizontal="left" vertical="center" wrapText="1"/>
      <protection hidden="1"/>
    </xf>
    <xf numFmtId="0" fontId="21" fillId="3" borderId="17" xfId="0" applyFont="1" applyFill="1" applyBorder="1" applyAlignment="1" applyProtection="1">
      <alignment horizontal="left" vertical="center" wrapText="1"/>
      <protection hidden="1"/>
    </xf>
    <xf numFmtId="0" fontId="21" fillId="3" borderId="8" xfId="0" applyFont="1" applyFill="1" applyBorder="1" applyAlignment="1" applyProtection="1">
      <alignment horizontal="left" vertical="center" wrapText="1"/>
      <protection hidden="1"/>
    </xf>
    <xf numFmtId="0" fontId="21" fillId="3" borderId="25" xfId="0" applyFont="1" applyFill="1" applyBorder="1" applyAlignment="1" applyProtection="1">
      <alignment horizontal="left" vertical="center" wrapText="1"/>
      <protection hidden="1"/>
    </xf>
    <xf numFmtId="0" fontId="5" fillId="3" borderId="29" xfId="0" applyFont="1" applyFill="1" applyBorder="1" applyAlignment="1" applyProtection="1">
      <alignment horizontal="left" vertical="center" indent="1"/>
      <protection hidden="1"/>
    </xf>
    <xf numFmtId="0" fontId="5" fillId="3" borderId="30" xfId="0" applyFont="1" applyFill="1" applyBorder="1" applyAlignment="1" applyProtection="1">
      <alignment horizontal="left" vertical="center" indent="1"/>
      <protection hidden="1"/>
    </xf>
    <xf numFmtId="170" fontId="21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1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10" xfId="0" applyNumberFormat="1" applyFont="1" applyFill="1" applyBorder="1" applyAlignment="1" applyProtection="1">
      <alignment horizontal="right" vertical="center" indent="1"/>
      <protection hidden="1"/>
    </xf>
    <xf numFmtId="0" fontId="1" fillId="0" borderId="23" xfId="0" applyFont="1" applyBorder="1" applyAlignment="1" applyProtection="1">
      <alignment horizontal="left" vertical="center" wrapText="1"/>
      <protection hidden="1"/>
    </xf>
    <xf numFmtId="0" fontId="1" fillId="0" borderId="22" xfId="0" applyFont="1" applyBorder="1" applyAlignment="1" applyProtection="1">
      <alignment horizontal="left" vertical="center" wrapText="1"/>
      <protection hidden="1"/>
    </xf>
    <xf numFmtId="170" fontId="1" fillId="3" borderId="0" xfId="0" applyNumberFormat="1" applyFont="1" applyFill="1" applyAlignment="1" applyProtection="1">
      <alignment horizontal="right" vertical="center" indent="1"/>
      <protection hidden="1"/>
    </xf>
    <xf numFmtId="170" fontId="1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1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1" fillId="3" borderId="6" xfId="0" applyNumberFormat="1" applyFont="1" applyFill="1" applyBorder="1" applyAlignment="1" applyProtection="1">
      <alignment horizontal="right" vertical="center" inden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1" fillId="3" borderId="23" xfId="0" applyFont="1" applyFill="1" applyBorder="1" applyAlignment="1" applyProtection="1">
      <alignment horizontal="left" vertical="center"/>
      <protection hidden="1"/>
    </xf>
    <xf numFmtId="0" fontId="1" fillId="3" borderId="21" xfId="0" applyFont="1" applyFill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5" xfId="0" applyFont="1" applyBorder="1" applyAlignment="1" applyProtection="1">
      <alignment horizontal="left" vertical="center"/>
      <protection hidden="1"/>
    </xf>
    <xf numFmtId="0" fontId="21" fillId="0" borderId="8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2" xfId="0" applyFont="1" applyBorder="1" applyAlignment="1" applyProtection="1">
      <alignment horizontal="left" vertical="center"/>
      <protection hidden="1"/>
    </xf>
    <xf numFmtId="0" fontId="21" fillId="0" borderId="6" xfId="0" applyFont="1" applyBorder="1" applyAlignment="1" applyProtection="1">
      <alignment horizontal="left" vertical="center"/>
      <protection hidden="1"/>
    </xf>
    <xf numFmtId="0" fontId="84" fillId="11" borderId="17" xfId="0" applyFont="1" applyFill="1" applyBorder="1" applyAlignment="1" applyProtection="1">
      <alignment horizontal="left" vertical="center"/>
      <protection hidden="1"/>
    </xf>
    <xf numFmtId="0" fontId="84" fillId="11" borderId="8" xfId="0" applyFont="1" applyFill="1" applyBorder="1" applyAlignment="1" applyProtection="1">
      <alignment horizontal="left" vertical="center"/>
      <protection hidden="1"/>
    </xf>
    <xf numFmtId="0" fontId="84" fillId="11" borderId="25" xfId="0" applyFont="1" applyFill="1" applyBorder="1" applyAlignment="1" applyProtection="1">
      <alignment horizontal="left" vertical="center"/>
      <protection hidden="1"/>
    </xf>
    <xf numFmtId="0" fontId="84" fillId="11" borderId="5" xfId="0" applyFont="1" applyFill="1" applyBorder="1" applyAlignment="1" applyProtection="1">
      <alignment horizontal="left" vertical="center"/>
      <protection hidden="1"/>
    </xf>
    <xf numFmtId="0" fontId="84" fillId="11" borderId="2" xfId="0" applyFont="1" applyFill="1" applyBorder="1" applyAlignment="1" applyProtection="1">
      <alignment horizontal="left" vertical="center"/>
      <protection hidden="1"/>
    </xf>
    <xf numFmtId="0" fontId="84" fillId="11" borderId="6" xfId="0" applyFont="1" applyFill="1" applyBorder="1" applyAlignment="1" applyProtection="1">
      <alignment horizontal="left" vertical="center"/>
      <protection hidden="1"/>
    </xf>
    <xf numFmtId="196" fontId="71" fillId="11" borderId="17" xfId="0" applyNumberFormat="1" applyFont="1" applyFill="1" applyBorder="1" applyAlignment="1" applyProtection="1">
      <alignment horizontal="center" vertical="center"/>
      <protection hidden="1"/>
    </xf>
    <xf numFmtId="196" fontId="71" fillId="11" borderId="25" xfId="0" applyNumberFormat="1" applyFont="1" applyFill="1" applyBorder="1" applyAlignment="1" applyProtection="1">
      <alignment horizontal="center" vertical="center"/>
      <protection hidden="1"/>
    </xf>
    <xf numFmtId="196" fontId="71" fillId="11" borderId="5" xfId="0" applyNumberFormat="1" applyFont="1" applyFill="1" applyBorder="1" applyAlignment="1" applyProtection="1">
      <alignment horizontal="center" vertical="center"/>
      <protection hidden="1"/>
    </xf>
    <xf numFmtId="196" fontId="71" fillId="11" borderId="6" xfId="0" applyNumberFormat="1" applyFont="1" applyFill="1" applyBorder="1" applyAlignment="1" applyProtection="1">
      <alignment horizontal="center" vertical="center"/>
      <protection hidden="1"/>
    </xf>
    <xf numFmtId="166" fontId="1" fillId="3" borderId="17" xfId="0" applyNumberFormat="1" applyFont="1" applyFill="1" applyBorder="1" applyAlignment="1" applyProtection="1">
      <alignment horizontal="center" vertical="center"/>
      <protection hidden="1"/>
    </xf>
    <xf numFmtId="166" fontId="1" fillId="3" borderId="25" xfId="0" applyNumberFormat="1" applyFont="1" applyFill="1" applyBorder="1" applyAlignment="1" applyProtection="1">
      <alignment horizontal="center" vertical="center"/>
      <protection hidden="1"/>
    </xf>
    <xf numFmtId="166" fontId="1" fillId="3" borderId="5" xfId="0" applyNumberFormat="1" applyFont="1" applyFill="1" applyBorder="1" applyAlignment="1" applyProtection="1">
      <alignment horizontal="center" vertical="center"/>
      <protection hidden="1"/>
    </xf>
    <xf numFmtId="166" fontId="1" fillId="3" borderId="6" xfId="0" applyNumberFormat="1" applyFont="1" applyFill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21" fillId="0" borderId="8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5" xfId="0" applyFont="1" applyBorder="1" applyAlignment="1" applyProtection="1">
      <alignment horizontal="center" vertical="center"/>
      <protection hidden="1"/>
    </xf>
    <xf numFmtId="0" fontId="21" fillId="0" borderId="2" xfId="0" applyFont="1" applyBorder="1" applyAlignment="1" applyProtection="1">
      <alignment horizontal="center" vertical="center"/>
      <protection hidden="1"/>
    </xf>
    <xf numFmtId="0" fontId="21" fillId="0" borderId="6" xfId="0" applyFont="1" applyBorder="1" applyAlignment="1" applyProtection="1">
      <alignment horizontal="center" vertical="center"/>
      <protection hidden="1"/>
    </xf>
    <xf numFmtId="166" fontId="1" fillId="0" borderId="7" xfId="0" applyNumberFormat="1" applyFont="1" applyBorder="1" applyAlignment="1" applyProtection="1">
      <alignment horizontal="center" vertical="center"/>
      <protection hidden="1"/>
    </xf>
    <xf numFmtId="166" fontId="1" fillId="0" borderId="3" xfId="0" applyNumberFormat="1" applyFont="1" applyBorder="1" applyAlignment="1" applyProtection="1">
      <alignment horizontal="center" vertical="center"/>
      <protection hidden="1"/>
    </xf>
    <xf numFmtId="166" fontId="1" fillId="0" borderId="4" xfId="0" applyNumberFormat="1" applyFont="1" applyBorder="1" applyAlignment="1" applyProtection="1">
      <alignment horizontal="center" vertical="center"/>
      <protection hidden="1"/>
    </xf>
    <xf numFmtId="198" fontId="1" fillId="3" borderId="24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1" fillId="3" borderId="23" xfId="0" applyNumberFormat="1" applyFont="1" applyFill="1" applyBorder="1" applyAlignment="1" applyProtection="1">
      <alignment horizontal="right" vertical="center" indent="1"/>
      <protection hidden="1"/>
    </xf>
    <xf numFmtId="0" fontId="21" fillId="3" borderId="17" xfId="0" applyFont="1" applyFill="1" applyBorder="1" applyAlignment="1" applyProtection="1">
      <alignment horizontal="left" vertical="center"/>
      <protection hidden="1"/>
    </xf>
    <xf numFmtId="0" fontId="21" fillId="3" borderId="5" xfId="0" applyFont="1" applyFill="1" applyBorder="1" applyAlignment="1" applyProtection="1">
      <alignment horizontal="left" vertical="center"/>
      <protection hidden="1"/>
    </xf>
    <xf numFmtId="0" fontId="21" fillId="3" borderId="8" xfId="0" applyFont="1" applyFill="1" applyBorder="1" applyAlignment="1" applyProtection="1">
      <alignment horizontal="left" vertical="center"/>
      <protection hidden="1"/>
    </xf>
    <xf numFmtId="0" fontId="21" fillId="3" borderId="25" xfId="0" applyFont="1" applyFill="1" applyBorder="1" applyAlignment="1" applyProtection="1">
      <alignment horizontal="left" vertical="center"/>
      <protection hidden="1"/>
    </xf>
    <xf numFmtId="0" fontId="21" fillId="3" borderId="2" xfId="0" applyFont="1" applyFill="1" applyBorder="1" applyAlignment="1" applyProtection="1">
      <alignment horizontal="left" vertical="center"/>
      <protection hidden="1"/>
    </xf>
    <xf numFmtId="0" fontId="21" fillId="3" borderId="6" xfId="0" applyFont="1" applyFill="1" applyBorder="1" applyAlignment="1" applyProtection="1">
      <alignment horizontal="left" vertical="center"/>
      <protection hidden="1"/>
    </xf>
    <xf numFmtId="166" fontId="1" fillId="3" borderId="8" xfId="0" applyNumberFormat="1" applyFont="1" applyFill="1" applyBorder="1" applyAlignment="1" applyProtection="1">
      <alignment horizontal="center" vertical="center"/>
      <protection hidden="1"/>
    </xf>
    <xf numFmtId="166" fontId="1" fillId="3" borderId="2" xfId="0" applyNumberFormat="1" applyFont="1" applyFill="1" applyBorder="1" applyAlignment="1" applyProtection="1">
      <alignment horizontal="center" vertical="center"/>
      <protection hidden="1"/>
    </xf>
    <xf numFmtId="0" fontId="21" fillId="3" borderId="5" xfId="0" applyFont="1" applyFill="1" applyBorder="1" applyAlignment="1" applyProtection="1">
      <alignment horizontal="left" vertical="center" wrapText="1"/>
      <protection hidden="1"/>
    </xf>
    <xf numFmtId="0" fontId="21" fillId="3" borderId="2" xfId="0" applyFont="1" applyFill="1" applyBorder="1" applyAlignment="1" applyProtection="1">
      <alignment horizontal="left" vertical="center" wrapText="1"/>
      <protection hidden="1"/>
    </xf>
    <xf numFmtId="0" fontId="21" fillId="3" borderId="6" xfId="0" applyFont="1" applyFill="1" applyBorder="1" applyAlignment="1" applyProtection="1">
      <alignment horizontal="left" vertical="center" wrapText="1"/>
      <protection hidden="1"/>
    </xf>
    <xf numFmtId="166" fontId="1" fillId="3" borderId="19" xfId="0" applyNumberFormat="1" applyFont="1" applyFill="1" applyBorder="1" applyAlignment="1" applyProtection="1">
      <alignment horizontal="right" vertical="center" indent="1"/>
      <protection hidden="1"/>
    </xf>
    <xf numFmtId="0" fontId="1" fillId="3" borderId="23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0" borderId="35" xfId="0" applyFont="1" applyBorder="1" applyAlignment="1" applyProtection="1">
      <alignment horizontal="left" vertical="center"/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0" fontId="84" fillId="11" borderId="17" xfId="0" applyFont="1" applyFill="1" applyBorder="1" applyAlignment="1" applyProtection="1">
      <alignment horizontal="left" vertical="center" wrapText="1"/>
      <protection hidden="1"/>
    </xf>
    <xf numFmtId="0" fontId="84" fillId="11" borderId="8" xfId="0" applyFont="1" applyFill="1" applyBorder="1" applyAlignment="1" applyProtection="1">
      <alignment horizontal="left" vertical="center" wrapText="1"/>
      <protection hidden="1"/>
    </xf>
    <xf numFmtId="0" fontId="84" fillId="11" borderId="25" xfId="0" applyFont="1" applyFill="1" applyBorder="1" applyAlignment="1" applyProtection="1">
      <alignment horizontal="left" vertical="center" wrapText="1"/>
      <protection hidden="1"/>
    </xf>
    <xf numFmtId="0" fontId="84" fillId="11" borderId="5" xfId="0" applyFont="1" applyFill="1" applyBorder="1" applyAlignment="1" applyProtection="1">
      <alignment horizontal="left" vertical="center" wrapText="1"/>
      <protection hidden="1"/>
    </xf>
    <xf numFmtId="0" fontId="84" fillId="11" borderId="2" xfId="0" applyFont="1" applyFill="1" applyBorder="1" applyAlignment="1" applyProtection="1">
      <alignment horizontal="left" vertical="center" wrapText="1"/>
      <protection hidden="1"/>
    </xf>
    <xf numFmtId="0" fontId="84" fillId="11" borderId="6" xfId="0" applyFont="1" applyFill="1" applyBorder="1" applyAlignment="1" applyProtection="1">
      <alignment horizontal="left" vertical="center" wrapText="1"/>
      <protection hidden="1"/>
    </xf>
    <xf numFmtId="196" fontId="71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1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1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1" fillId="11" borderId="6" xfId="0" applyNumberFormat="1" applyFont="1" applyFill="1" applyBorder="1" applyAlignment="1" applyProtection="1">
      <alignment horizontal="right" vertical="center" indent="1"/>
      <protection hidden="1"/>
    </xf>
    <xf numFmtId="166" fontId="24" fillId="0" borderId="8" xfId="0" applyNumberFormat="1" applyFont="1" applyBorder="1" applyAlignment="1" applyProtection="1">
      <alignment horizontal="right" vertical="center" indent="1"/>
      <protection hidden="1"/>
    </xf>
    <xf numFmtId="166" fontId="24" fillId="0" borderId="25" xfId="0" applyNumberFormat="1" applyFont="1" applyBorder="1" applyAlignment="1" applyProtection="1">
      <alignment horizontal="right" vertical="center" indent="1"/>
      <protection hidden="1"/>
    </xf>
    <xf numFmtId="166" fontId="24" fillId="0" borderId="0" xfId="0" applyNumberFormat="1" applyFont="1" applyAlignment="1" applyProtection="1">
      <alignment horizontal="right" vertical="center" indent="1"/>
      <protection hidden="1"/>
    </xf>
    <xf numFmtId="166" fontId="24" fillId="0" borderId="10" xfId="0" applyNumberFormat="1" applyFont="1" applyBorder="1" applyAlignment="1" applyProtection="1">
      <alignment horizontal="right" vertical="center" indent="1"/>
      <protection hidden="1"/>
    </xf>
    <xf numFmtId="166" fontId="1" fillId="0" borderId="8" xfId="0" applyNumberFormat="1" applyFont="1" applyBorder="1" applyAlignment="1" applyProtection="1">
      <alignment horizontal="center" vertical="center"/>
      <protection hidden="1"/>
    </xf>
    <xf numFmtId="166" fontId="1" fillId="0" borderId="25" xfId="0" applyNumberFormat="1" applyFont="1" applyBorder="1" applyAlignment="1" applyProtection="1">
      <alignment horizontal="center" vertical="center"/>
      <protection hidden="1"/>
    </xf>
    <xf numFmtId="166" fontId="1" fillId="0" borderId="2" xfId="0" applyNumberFormat="1" applyFont="1" applyBorder="1" applyAlignment="1" applyProtection="1">
      <alignment horizontal="center" vertical="center"/>
      <protection hidden="1"/>
    </xf>
    <xf numFmtId="166" fontId="1" fillId="0" borderId="6" xfId="0" applyNumberFormat="1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8" xfId="0" applyFont="1" applyBorder="1" applyAlignment="1" applyProtection="1">
      <alignment horizontal="left" vertical="center" wrapText="1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21" fillId="0" borderId="5" xfId="0" applyFont="1" applyBorder="1" applyAlignment="1" applyProtection="1">
      <alignment horizontal="left" vertical="center" wrapText="1"/>
      <protection hidden="1"/>
    </xf>
    <xf numFmtId="0" fontId="21" fillId="0" borderId="2" xfId="0" applyFont="1" applyBorder="1" applyAlignment="1" applyProtection="1">
      <alignment horizontal="left" vertical="center" wrapText="1"/>
      <protection hidden="1"/>
    </xf>
    <xf numFmtId="0" fontId="21" fillId="0" borderId="6" xfId="0" applyFont="1" applyBorder="1" applyAlignment="1" applyProtection="1">
      <alignment horizontal="left" vertical="center" wrapText="1"/>
      <protection hidden="1"/>
    </xf>
    <xf numFmtId="166" fontId="1" fillId="8" borderId="17" xfId="0" applyNumberFormat="1" applyFont="1" applyFill="1" applyBorder="1" applyAlignment="1" applyProtection="1">
      <alignment horizontal="center" vertical="center"/>
      <protection locked="0"/>
    </xf>
    <xf numFmtId="166" fontId="1" fillId="8" borderId="25" xfId="0" applyNumberFormat="1" applyFont="1" applyFill="1" applyBorder="1" applyAlignment="1" applyProtection="1">
      <alignment horizontal="center" vertical="center"/>
      <protection locked="0"/>
    </xf>
    <xf numFmtId="166" fontId="1" fillId="8" borderId="5" xfId="0" applyNumberFormat="1" applyFont="1" applyFill="1" applyBorder="1" applyAlignment="1" applyProtection="1">
      <alignment horizontal="center" vertical="center"/>
      <protection locked="0"/>
    </xf>
    <xf numFmtId="166" fontId="1" fillId="8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horizontal="left" vertical="center"/>
      <protection hidden="1"/>
    </xf>
    <xf numFmtId="0" fontId="5" fillId="0" borderId="24" xfId="0" applyFont="1" applyBorder="1" applyAlignment="1" applyProtection="1">
      <alignment horizontal="left" vertical="center" indent="1"/>
      <protection hidden="1"/>
    </xf>
    <xf numFmtId="0" fontId="5" fillId="0" borderId="23" xfId="0" applyFont="1" applyBorder="1" applyAlignment="1" applyProtection="1">
      <alignment horizontal="left" vertical="center" indent="1"/>
      <protection hidden="1"/>
    </xf>
    <xf numFmtId="0" fontId="5" fillId="0" borderId="24" xfId="0" applyFont="1" applyBorder="1" applyAlignment="1" applyProtection="1">
      <alignment horizontal="left" vertical="center" indent="2"/>
      <protection hidden="1"/>
    </xf>
    <xf numFmtId="0" fontId="5" fillId="0" borderId="23" xfId="0" applyFont="1" applyBorder="1" applyAlignment="1" applyProtection="1">
      <alignment horizontal="left" vertical="center" indent="2"/>
      <protection hidden="1"/>
    </xf>
    <xf numFmtId="166" fontId="1" fillId="0" borderId="92" xfId="0" applyNumberFormat="1" applyFont="1" applyBorder="1" applyAlignment="1" applyProtection="1">
      <alignment horizontal="center" vertical="center"/>
      <protection hidden="1"/>
    </xf>
    <xf numFmtId="166" fontId="1" fillId="0" borderId="34" xfId="0" applyNumberFormat="1" applyFont="1" applyBorder="1" applyAlignment="1" applyProtection="1">
      <alignment horizontal="center" vertical="center"/>
      <protection hidden="1"/>
    </xf>
    <xf numFmtId="166" fontId="1" fillId="0" borderId="31" xfId="0" applyNumberFormat="1" applyFont="1" applyBorder="1" applyAlignment="1" applyProtection="1">
      <alignment horizontal="center" vertical="center"/>
      <protection hidden="1"/>
    </xf>
    <xf numFmtId="166" fontId="1" fillId="0" borderId="5" xfId="0" applyNumberFormat="1" applyFont="1" applyBorder="1" applyAlignment="1" applyProtection="1">
      <alignment horizontal="center" vertical="center"/>
      <protection hidden="1"/>
    </xf>
  </cellXfs>
  <cellStyles count="6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_ERF 2000 fast" xfId="3" xr:uid="{00000000-0005-0000-0000-000003000000}"/>
    <cellStyle name="Standard_SSTDKON2003" xfId="4" xr:uid="{00000000-0005-0000-0000-000004000000}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ont>
        <b/>
        <i val="0"/>
        <color rgb="FFFF0000"/>
      </font>
    </dxf>
    <dxf>
      <font>
        <b val="0"/>
        <i val="0"/>
        <color rgb="FF92D050"/>
      </font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FFF99"/>
      <color rgb="FFDFF1CB"/>
      <color rgb="FFB80000"/>
      <color rgb="FFFF9F9F"/>
      <color rgb="FFFFC1C1"/>
      <color rgb="FFFFCCCC"/>
      <color rgb="FFE2F1D3"/>
      <color rgb="FFF5FAF0"/>
      <color rgb="FFEEF7E5"/>
      <color rgb="FFF9F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D88EBBF-8384-4E51-A7AE-378AD5EC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CD090CB3-02DB-400A-BDA5-9BD8FA3C8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534DA8A-F77A-4DAD-ADB8-ED0A6E67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2B661BC-B524-4950-BF13-54E30AE74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9E981F6-319A-415C-954D-9239E5F4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47625</xdr:rowOff>
    </xdr:from>
    <xdr:to>
      <xdr:col>32</xdr:col>
      <xdr:colOff>266700</xdr:colOff>
      <xdr:row>4</xdr:row>
      <xdr:rowOff>153713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5500" y="189182375"/>
          <a:ext cx="876300" cy="55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86592</xdr:rowOff>
    </xdr:from>
    <xdr:to>
      <xdr:col>32</xdr:col>
      <xdr:colOff>244232</xdr:colOff>
      <xdr:row>0</xdr:row>
      <xdr:rowOff>669637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29222" y="86592"/>
          <a:ext cx="921566" cy="583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6300" y="1933575"/>
          <a:ext cx="863600" cy="56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91AA5EF-ACA1-43BD-B356-BA8F222BE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122FEC-FE1C-4A90-933C-5A8E28103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9A585C6F-4ADE-4269-8AF3-EE736CF0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96748C8-7E18-4EEE-B333-6FE562C88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23B77EC-2B80-43D1-9BB4-5D6F365F5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8D77943-DEBC-4312-B14D-9E02CCBB3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adminconfig">
    <tabColor theme="1"/>
    <pageSetUpPr autoPageBreaks="0" fitToPage="1"/>
  </sheetPr>
  <dimension ref="A1:AQ38"/>
  <sheetViews>
    <sheetView showGridLines="0" zoomScaleNormal="100" workbookViewId="0">
      <selection activeCell="F3" sqref="F3:L3"/>
    </sheetView>
  </sheetViews>
  <sheetFormatPr baseColWidth="10" defaultColWidth="11.42578125" defaultRowHeight="12.75" x14ac:dyDescent="0.2"/>
  <cols>
    <col min="1" max="1" width="1.85546875" style="97" customWidth="1"/>
    <col min="2" max="43" width="3.85546875" style="97" customWidth="1"/>
    <col min="44" max="55" width="3.85546875" customWidth="1"/>
  </cols>
  <sheetData>
    <row r="1" spans="2:28" ht="53.45" customHeight="1" x14ac:dyDescent="0.2">
      <c r="B1" s="96" t="s">
        <v>0</v>
      </c>
      <c r="U1" s="589"/>
      <c r="V1" s="589"/>
      <c r="W1" s="589"/>
      <c r="X1" s="589"/>
    </row>
    <row r="2" spans="2:28" ht="43.5" customHeight="1" x14ac:dyDescent="0.2"/>
    <row r="3" spans="2:28" s="38" customFormat="1" ht="20.45" customHeight="1" x14ac:dyDescent="0.2">
      <c r="B3" s="98" t="s">
        <v>1</v>
      </c>
      <c r="C3" s="99"/>
      <c r="D3" s="99"/>
      <c r="E3" s="99"/>
      <c r="F3" s="590">
        <v>2024</v>
      </c>
      <c r="G3" s="591"/>
      <c r="H3" s="591"/>
      <c r="I3" s="591"/>
      <c r="J3" s="591"/>
      <c r="K3" s="591"/>
      <c r="L3" s="592"/>
      <c r="M3" s="99"/>
      <c r="N3" s="99"/>
      <c r="O3" s="99"/>
      <c r="P3" s="99"/>
      <c r="Q3" s="99"/>
      <c r="R3" s="99"/>
      <c r="S3" s="98" t="s">
        <v>2</v>
      </c>
      <c r="T3" s="99"/>
      <c r="U3" s="99"/>
      <c r="V3" s="99"/>
      <c r="W3" s="593" t="s">
        <v>3</v>
      </c>
      <c r="X3" s="593"/>
      <c r="Y3" s="593"/>
      <c r="Z3" s="593"/>
      <c r="AA3" s="593"/>
      <c r="AB3" s="593"/>
    </row>
    <row r="4" spans="2:28" x14ac:dyDescent="0.2">
      <c r="G4" s="107"/>
      <c r="H4" s="107"/>
      <c r="I4" s="107"/>
      <c r="J4" s="107"/>
      <c r="K4" s="107"/>
      <c r="L4" s="107"/>
      <c r="M4" s="108"/>
    </row>
    <row r="6" spans="2:28" ht="13.5" thickBot="1" x14ac:dyDescent="0.25">
      <c r="B6" s="109" t="s">
        <v>4</v>
      </c>
      <c r="C6" s="99"/>
      <c r="D6" s="99"/>
      <c r="E6" s="99"/>
      <c r="F6" s="99"/>
      <c r="G6" s="99"/>
      <c r="H6" s="99"/>
      <c r="I6" s="99"/>
      <c r="J6" s="99"/>
    </row>
    <row r="7" spans="2:28" ht="13.5" customHeight="1" thickTop="1" x14ac:dyDescent="0.2">
      <c r="B7" s="102" t="s">
        <v>5</v>
      </c>
      <c r="C7" s="101"/>
      <c r="D7" s="101"/>
      <c r="E7" s="101"/>
      <c r="F7" s="586" t="str">
        <f>IF(MOD(YEAR($V$8),400)=0,"n",IF(MOD(YEAR($V$8),100)=0,"n",IF(MOD(YEAR($V$8),4)=0,"j","n")))</f>
        <v>j</v>
      </c>
      <c r="G7" s="587"/>
      <c r="H7" s="588"/>
      <c r="J7" s="103"/>
      <c r="P7" s="99"/>
      <c r="Q7" s="110" t="s">
        <v>6</v>
      </c>
      <c r="R7" s="111"/>
      <c r="S7" s="111"/>
      <c r="T7" s="111"/>
      <c r="U7" s="111"/>
      <c r="V7" s="579" t="str">
        <f>IF(ISERROR(DATEVALUE(TEXT("01.01."&amp;F3,"TT.MM.JJ"))),"01/01/"&amp;F3,"01.01."&amp;F3)</f>
        <v>01.01.2024</v>
      </c>
      <c r="W7" s="579"/>
      <c r="X7" s="579"/>
      <c r="Y7" s="111"/>
      <c r="Z7" s="580">
        <f>WEEKDAY(V7)</f>
        <v>2</v>
      </c>
      <c r="AA7" s="580"/>
      <c r="AB7" s="581"/>
    </row>
    <row r="8" spans="2:28" ht="13.5" thickBot="1" x14ac:dyDescent="0.25">
      <c r="B8" s="102" t="s">
        <v>7</v>
      </c>
      <c r="C8" s="101"/>
      <c r="D8" s="101"/>
      <c r="E8" s="101"/>
      <c r="F8" s="586">
        <f>NETWORKDAYS(DATE($F$3,1,1),DATE($F$3,12,31))</f>
        <v>262</v>
      </c>
      <c r="G8" s="587"/>
      <c r="H8" s="588"/>
      <c r="J8" s="103" t="s">
        <v>8</v>
      </c>
      <c r="Q8" s="112" t="s">
        <v>9</v>
      </c>
      <c r="R8" s="113"/>
      <c r="S8" s="113"/>
      <c r="T8" s="113"/>
      <c r="U8" s="113"/>
      <c r="V8" s="582">
        <f>DATE(YEAR($V$7),MONTH($V$7),DAY($V$7))</f>
        <v>45292</v>
      </c>
      <c r="W8" s="582"/>
      <c r="X8" s="582"/>
      <c r="Y8" s="113"/>
      <c r="Z8" s="594">
        <f>WEEKDAY(V8,2)</f>
        <v>1</v>
      </c>
      <c r="AA8" s="594"/>
      <c r="AB8" s="595"/>
    </row>
    <row r="9" spans="2:28" ht="18" customHeight="1" thickTop="1" x14ac:dyDescent="0.2">
      <c r="B9" s="100"/>
      <c r="C9" s="101"/>
      <c r="D9" s="101"/>
      <c r="E9" s="101"/>
      <c r="F9" s="101"/>
    </row>
    <row r="10" spans="2:28" s="38" customFormat="1" ht="18" customHeight="1" x14ac:dyDescent="0.2"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</row>
    <row r="11" spans="2:28" ht="18" customHeight="1" x14ac:dyDescent="0.2">
      <c r="B11" s="100" t="s">
        <v>10</v>
      </c>
      <c r="C11" s="101"/>
      <c r="D11" s="101"/>
      <c r="E11" s="101"/>
      <c r="F11" s="101"/>
      <c r="Q11" s="100" t="s">
        <v>11</v>
      </c>
      <c r="R11" s="101"/>
      <c r="S11" s="101"/>
      <c r="T11" s="101"/>
      <c r="U11" s="101"/>
    </row>
    <row r="12" spans="2:28" ht="18" customHeight="1" x14ac:dyDescent="0.2">
      <c r="B12" s="102" t="s">
        <v>12</v>
      </c>
      <c r="C12" s="101"/>
      <c r="D12" s="101"/>
      <c r="E12" s="101"/>
      <c r="G12" s="583">
        <v>0.8</v>
      </c>
      <c r="H12" s="584"/>
      <c r="I12" s="585"/>
      <c r="J12" s="117" t="s">
        <v>13</v>
      </c>
      <c r="K12" s="583">
        <v>1</v>
      </c>
      <c r="L12" s="584"/>
      <c r="M12" s="585"/>
      <c r="Q12" s="102" t="s">
        <v>14</v>
      </c>
      <c r="R12" s="101"/>
      <c r="S12" s="101"/>
      <c r="T12" s="101"/>
      <c r="V12" s="583">
        <v>0.25</v>
      </c>
      <c r="W12" s="584"/>
      <c r="X12" s="585"/>
    </row>
    <row r="13" spans="2:28" ht="18" customHeight="1" x14ac:dyDescent="0.2">
      <c r="B13" s="102" t="s">
        <v>15</v>
      </c>
      <c r="C13" s="101"/>
      <c r="D13" s="101"/>
      <c r="E13" s="101"/>
      <c r="G13" s="583">
        <v>0</v>
      </c>
      <c r="H13" s="584"/>
      <c r="I13" s="585"/>
      <c r="J13" s="117" t="s">
        <v>13</v>
      </c>
      <c r="K13" s="583">
        <v>0.79</v>
      </c>
      <c r="L13" s="584"/>
      <c r="M13" s="585"/>
      <c r="Q13" s="102" t="s">
        <v>16</v>
      </c>
      <c r="R13" s="101"/>
      <c r="S13" s="101"/>
      <c r="T13" s="101"/>
      <c r="V13" s="583">
        <v>1</v>
      </c>
      <c r="W13" s="584"/>
      <c r="X13" s="585"/>
    </row>
    <row r="14" spans="2:28" ht="18" customHeight="1" x14ac:dyDescent="0.2">
      <c r="B14" s="102"/>
      <c r="C14" s="101"/>
      <c r="D14" s="101"/>
      <c r="E14" s="101"/>
      <c r="G14" s="596"/>
      <c r="H14" s="596"/>
      <c r="I14" s="596"/>
      <c r="J14" s="117"/>
      <c r="K14" s="596"/>
      <c r="L14" s="596"/>
      <c r="M14" s="596"/>
      <c r="Q14" s="102" t="s">
        <v>17</v>
      </c>
      <c r="R14" s="101"/>
      <c r="S14" s="101"/>
      <c r="T14" s="101"/>
      <c r="V14" s="583">
        <v>1</v>
      </c>
      <c r="W14" s="584"/>
      <c r="X14" s="585"/>
    </row>
    <row r="18" spans="2:28" ht="18" customHeight="1" x14ac:dyDescent="0.2">
      <c r="B18" s="100" t="s">
        <v>18</v>
      </c>
      <c r="C18" s="101"/>
      <c r="D18" s="101"/>
      <c r="E18" s="101"/>
      <c r="F18" s="101"/>
      <c r="M18" s="98" t="s">
        <v>19</v>
      </c>
      <c r="O18" s="99"/>
      <c r="P18" s="593" t="s">
        <v>20</v>
      </c>
      <c r="Q18" s="593"/>
      <c r="R18" s="593"/>
      <c r="S18" s="593"/>
      <c r="T18" s="593"/>
      <c r="U18" s="593"/>
    </row>
    <row r="19" spans="2:28" ht="18" customHeight="1" x14ac:dyDescent="0.2">
      <c r="B19" s="101"/>
      <c r="C19" s="101"/>
      <c r="D19" s="101"/>
      <c r="E19" s="101"/>
      <c r="F19" s="101"/>
    </row>
    <row r="20" spans="2:28" x14ac:dyDescent="0.2">
      <c r="B20" s="102" t="s">
        <v>21</v>
      </c>
      <c r="C20" s="101"/>
      <c r="D20" s="101"/>
      <c r="E20" s="101"/>
      <c r="G20" s="576">
        <f>IF($P$18="Jahresarbeitszeit",G35,G28)</f>
        <v>8</v>
      </c>
      <c r="H20" s="577"/>
      <c r="I20" s="578"/>
      <c r="K20" s="103" t="s">
        <v>22</v>
      </c>
      <c r="Q20" s="102" t="s">
        <v>23</v>
      </c>
      <c r="R20" s="101"/>
      <c r="S20" s="101"/>
      <c r="T20" s="101"/>
      <c r="V20" s="576">
        <f>IF($P$18="Jahresarbeitszeit",V35,V28)</f>
        <v>2096</v>
      </c>
      <c r="W20" s="577"/>
      <c r="X20" s="578"/>
      <c r="Z20" s="103" t="s">
        <v>22</v>
      </c>
    </row>
    <row r="21" spans="2:28" x14ac:dyDescent="0.2"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N21" s="99"/>
      <c r="O21" s="99"/>
      <c r="P21" s="99"/>
      <c r="Q21" s="102"/>
      <c r="R21" s="101"/>
      <c r="S21" s="101"/>
      <c r="T21" s="101"/>
      <c r="U21" s="99"/>
      <c r="V21" s="99"/>
      <c r="W21" s="99"/>
      <c r="X21" s="99"/>
      <c r="Y21" s="99"/>
      <c r="Z21" s="99"/>
    </row>
    <row r="22" spans="2:28" ht="18" customHeight="1" x14ac:dyDescent="0.2">
      <c r="B22" s="102" t="s">
        <v>24</v>
      </c>
      <c r="C22" s="101"/>
      <c r="D22" s="101"/>
      <c r="E22" s="101"/>
      <c r="F22" s="99"/>
      <c r="G22" s="576">
        <f>IF($P$18="Jahresarbeitszeit",G37,G30)</f>
        <v>9.6</v>
      </c>
      <c r="H22" s="577"/>
      <c r="I22" s="578"/>
      <c r="J22" s="99"/>
      <c r="K22" s="103" t="s">
        <v>22</v>
      </c>
      <c r="L22" s="99"/>
      <c r="Q22" s="102" t="s">
        <v>25</v>
      </c>
      <c r="R22" s="101"/>
      <c r="S22" s="101"/>
      <c r="T22" s="101"/>
      <c r="U22" s="99"/>
      <c r="V22" s="576">
        <f>IF($P$18="Jahresarbeitszeit",V37,V30)</f>
        <v>0</v>
      </c>
      <c r="W22" s="577"/>
      <c r="X22" s="578"/>
      <c r="Y22" s="99"/>
      <c r="Z22" s="103" t="s">
        <v>22</v>
      </c>
    </row>
    <row r="23" spans="2:28" ht="18" customHeight="1" x14ac:dyDescent="0.2">
      <c r="B23" s="102" t="s">
        <v>26</v>
      </c>
      <c r="C23" s="101"/>
      <c r="D23" s="101"/>
      <c r="E23" s="101"/>
      <c r="F23" s="99"/>
      <c r="G23" s="576">
        <f>IF($P$18="Jahresarbeitszeit",G38,G31)</f>
        <v>48</v>
      </c>
      <c r="H23" s="577"/>
      <c r="I23" s="578"/>
      <c r="J23" s="99"/>
      <c r="K23" s="103" t="s">
        <v>22</v>
      </c>
      <c r="L23" s="99"/>
      <c r="Q23" s="102" t="s">
        <v>27</v>
      </c>
      <c r="R23" s="101"/>
      <c r="S23" s="101"/>
      <c r="T23" s="101"/>
      <c r="U23" s="99"/>
      <c r="V23" s="576">
        <f>IF($P$18="Jahresarbeitszeit",V38,V31)</f>
        <v>0</v>
      </c>
      <c r="W23" s="577"/>
      <c r="X23" s="578"/>
      <c r="Y23" s="99"/>
      <c r="Z23" s="103" t="s">
        <v>22</v>
      </c>
    </row>
    <row r="24" spans="2:28" x14ac:dyDescent="0.2"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7" spans="2:28" s="38" customFormat="1" x14ac:dyDescent="0.2">
      <c r="B27" s="109" t="s">
        <v>28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</row>
    <row r="28" spans="2:28" x14ac:dyDescent="0.2">
      <c r="B28" s="102" t="s">
        <v>21</v>
      </c>
      <c r="C28" s="101"/>
      <c r="D28" s="101"/>
      <c r="E28" s="101"/>
      <c r="G28" s="573">
        <v>8</v>
      </c>
      <c r="H28" s="574"/>
      <c r="I28" s="575"/>
      <c r="K28" s="103" t="s">
        <v>22</v>
      </c>
      <c r="Q28" s="102" t="s">
        <v>23</v>
      </c>
      <c r="R28" s="101"/>
      <c r="S28" s="101"/>
      <c r="T28" s="101"/>
      <c r="V28" s="576">
        <f>$F$8*$G$28</f>
        <v>2096</v>
      </c>
      <c r="W28" s="577"/>
      <c r="X28" s="578"/>
      <c r="Z28" s="103" t="s">
        <v>22</v>
      </c>
    </row>
    <row r="29" spans="2:28" x14ac:dyDescent="0.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N29" s="99"/>
      <c r="O29" s="99"/>
      <c r="P29" s="99"/>
      <c r="Q29" s="102"/>
      <c r="R29" s="101"/>
      <c r="S29" s="101"/>
      <c r="T29" s="101"/>
      <c r="U29" s="99"/>
      <c r="V29" s="99"/>
      <c r="W29" s="99"/>
      <c r="X29" s="99"/>
      <c r="Y29" s="99"/>
      <c r="Z29" s="99"/>
    </row>
    <row r="30" spans="2:28" ht="18" customHeight="1" x14ac:dyDescent="0.2">
      <c r="B30" s="102" t="s">
        <v>24</v>
      </c>
      <c r="C30" s="101"/>
      <c r="D30" s="101"/>
      <c r="E30" s="101"/>
      <c r="F30" s="99"/>
      <c r="G30" s="573">
        <f>G31/5</f>
        <v>9.6</v>
      </c>
      <c r="H30" s="574"/>
      <c r="I30" s="575"/>
      <c r="J30" s="99"/>
      <c r="K30" s="103" t="s">
        <v>22</v>
      </c>
      <c r="L30" s="99"/>
      <c r="Q30" s="102" t="s">
        <v>25</v>
      </c>
      <c r="R30" s="101"/>
      <c r="S30" s="101"/>
      <c r="T30" s="101"/>
      <c r="U30" s="99"/>
      <c r="V30" s="573"/>
      <c r="W30" s="574"/>
      <c r="X30" s="575"/>
      <c r="Y30" s="99"/>
      <c r="Z30" s="103" t="s">
        <v>22</v>
      </c>
    </row>
    <row r="31" spans="2:28" ht="18" customHeight="1" x14ac:dyDescent="0.2">
      <c r="B31" s="102" t="s">
        <v>26</v>
      </c>
      <c r="C31" s="101"/>
      <c r="D31" s="101"/>
      <c r="E31" s="101"/>
      <c r="F31" s="99"/>
      <c r="G31" s="573">
        <v>48</v>
      </c>
      <c r="H31" s="574"/>
      <c r="I31" s="575"/>
      <c r="J31" s="99"/>
      <c r="K31" s="103" t="s">
        <v>22</v>
      </c>
      <c r="L31" s="99"/>
      <c r="Q31" s="102" t="s">
        <v>27</v>
      </c>
      <c r="R31" s="101"/>
      <c r="S31" s="101"/>
      <c r="T31" s="101"/>
      <c r="U31" s="99"/>
      <c r="V31" s="573"/>
      <c r="W31" s="574"/>
      <c r="X31" s="575"/>
      <c r="Y31" s="99"/>
      <c r="Z31" s="103" t="s">
        <v>22</v>
      </c>
    </row>
    <row r="34" spans="2:28" s="38" customFormat="1" x14ac:dyDescent="0.2">
      <c r="B34" s="109" t="s">
        <v>29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</row>
    <row r="35" spans="2:28" ht="18" customHeight="1" x14ac:dyDescent="0.2">
      <c r="B35" s="102" t="s">
        <v>21</v>
      </c>
      <c r="C35" s="101"/>
      <c r="D35" s="101"/>
      <c r="E35" s="101"/>
      <c r="G35" s="576">
        <f>$V$35/$F$8</f>
        <v>8.2683206106870237</v>
      </c>
      <c r="H35" s="577"/>
      <c r="I35" s="578"/>
      <c r="K35" s="103" t="s">
        <v>22</v>
      </c>
      <c r="Q35" s="102" t="s">
        <v>23</v>
      </c>
      <c r="R35" s="101"/>
      <c r="S35" s="101"/>
      <c r="T35" s="101"/>
      <c r="V35" s="573">
        <v>2166.3000000000002</v>
      </c>
      <c r="W35" s="574"/>
      <c r="X35" s="575"/>
      <c r="Z35" s="103" t="s">
        <v>22</v>
      </c>
    </row>
    <row r="36" spans="2:28" s="38" customFormat="1" ht="10.5" customHeight="1" x14ac:dyDescent="0.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7"/>
      <c r="N36" s="99"/>
      <c r="O36" s="99"/>
      <c r="P36" s="99"/>
      <c r="Q36" s="102"/>
      <c r="R36" s="101"/>
      <c r="S36" s="101"/>
      <c r="T36" s="101"/>
      <c r="U36" s="99"/>
      <c r="V36" s="99"/>
      <c r="W36" s="99"/>
      <c r="X36" s="99"/>
      <c r="Y36" s="99"/>
      <c r="Z36" s="99"/>
      <c r="AA36" s="99"/>
      <c r="AB36" s="99"/>
    </row>
    <row r="37" spans="2:28" x14ac:dyDescent="0.2">
      <c r="B37" s="102" t="s">
        <v>24</v>
      </c>
      <c r="C37" s="101"/>
      <c r="D37" s="101"/>
      <c r="E37" s="101"/>
      <c r="F37" s="99"/>
      <c r="G37" s="573">
        <v>9</v>
      </c>
      <c r="H37" s="574"/>
      <c r="I37" s="575"/>
      <c r="J37" s="99"/>
      <c r="K37" s="103" t="s">
        <v>22</v>
      </c>
      <c r="L37" s="99"/>
      <c r="Q37" s="102" t="s">
        <v>25</v>
      </c>
      <c r="R37" s="101"/>
      <c r="S37" s="101"/>
      <c r="T37" s="101"/>
      <c r="U37" s="99"/>
      <c r="V37" s="573">
        <v>7.5</v>
      </c>
      <c r="W37" s="574"/>
      <c r="X37" s="575"/>
      <c r="Y37" s="99"/>
      <c r="Z37" s="103" t="s">
        <v>22</v>
      </c>
    </row>
    <row r="38" spans="2:28" x14ac:dyDescent="0.2">
      <c r="B38" s="102" t="s">
        <v>26</v>
      </c>
      <c r="C38" s="101"/>
      <c r="D38" s="101"/>
      <c r="E38" s="101"/>
      <c r="F38" s="99"/>
      <c r="G38" s="573">
        <v>48</v>
      </c>
      <c r="H38" s="574"/>
      <c r="I38" s="575"/>
      <c r="J38" s="99"/>
      <c r="K38" s="103" t="s">
        <v>22</v>
      </c>
      <c r="L38" s="99"/>
      <c r="Q38" s="102" t="s">
        <v>27</v>
      </c>
      <c r="R38" s="101"/>
      <c r="S38" s="101"/>
      <c r="T38" s="101"/>
      <c r="U38" s="99"/>
      <c r="V38" s="573">
        <v>37.5</v>
      </c>
      <c r="W38" s="574"/>
      <c r="X38" s="575"/>
      <c r="Y38" s="99"/>
      <c r="Z38" s="103" t="s">
        <v>22</v>
      </c>
    </row>
  </sheetData>
  <sheetProtection algorithmName="SHA-512" hashValue="EJqvzaXZQ7zQt19uNUrqQsX4F0sYjBr39JU0w+89pnvWkfejOIZqPX4DQqsKkz309/eR+68MkN8Vw9FqFW01CQ==" saltValue="pWfLjQbArLQsc1j+THiXow==" spinCount="100000" sheet="1" objects="1" scenarios="1"/>
  <dataConsolidate/>
  <mergeCells count="37">
    <mergeCell ref="G12:I12"/>
    <mergeCell ref="G13:I13"/>
    <mergeCell ref="K12:M12"/>
    <mergeCell ref="K13:M13"/>
    <mergeCell ref="G35:I35"/>
    <mergeCell ref="G31:I31"/>
    <mergeCell ref="G30:I30"/>
    <mergeCell ref="G14:I14"/>
    <mergeCell ref="K14:M14"/>
    <mergeCell ref="G28:I28"/>
    <mergeCell ref="G38:I38"/>
    <mergeCell ref="P18:U18"/>
    <mergeCell ref="G20:I20"/>
    <mergeCell ref="G22:I22"/>
    <mergeCell ref="G23:I23"/>
    <mergeCell ref="G37:I37"/>
    <mergeCell ref="F7:H7"/>
    <mergeCell ref="F8:H8"/>
    <mergeCell ref="U1:X1"/>
    <mergeCell ref="F3:L3"/>
    <mergeCell ref="W3:AB3"/>
    <mergeCell ref="Z8:AB8"/>
    <mergeCell ref="V38:X38"/>
    <mergeCell ref="V22:X22"/>
    <mergeCell ref="V23:X23"/>
    <mergeCell ref="V7:X7"/>
    <mergeCell ref="Z7:AB7"/>
    <mergeCell ref="V8:X8"/>
    <mergeCell ref="V20:X20"/>
    <mergeCell ref="V35:X35"/>
    <mergeCell ref="V12:X12"/>
    <mergeCell ref="V13:X13"/>
    <mergeCell ref="V14:X14"/>
    <mergeCell ref="V28:X28"/>
    <mergeCell ref="V30:X30"/>
    <mergeCell ref="V31:X31"/>
    <mergeCell ref="V37:X37"/>
  </mergeCells>
  <conditionalFormatting sqref="F7:H7">
    <cfRule type="containsText" dxfId="233" priority="1" operator="containsText" text="j">
      <formula>NOT(ISERROR(SEARCH("j",F7)))</formula>
    </cfRule>
  </conditionalFormatting>
  <dataValidations count="2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18:U18" xr:uid="{2B5E9753-B7D9-4C7C-98E0-9F0011120368}">
      <formula1>"Tagesarbeitszeit, Jahresarbeitszeit"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m01jan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Januar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45292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Januar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-184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45292</v>
      </c>
      <c r="G16" s="431">
        <f>F$16+1</f>
        <v>45293</v>
      </c>
      <c r="H16" s="431">
        <f t="shared" ref="H16:AJ16" si="2">G$16+1</f>
        <v>45294</v>
      </c>
      <c r="I16" s="431">
        <f t="shared" si="2"/>
        <v>45295</v>
      </c>
      <c r="J16" s="431">
        <f t="shared" si="2"/>
        <v>45296</v>
      </c>
      <c r="K16" s="431">
        <f t="shared" si="2"/>
        <v>45297</v>
      </c>
      <c r="L16" s="432">
        <f t="shared" si="2"/>
        <v>45298</v>
      </c>
      <c r="M16" s="432">
        <f t="shared" si="2"/>
        <v>45299</v>
      </c>
      <c r="N16" s="433">
        <f t="shared" si="2"/>
        <v>45300</v>
      </c>
      <c r="O16" s="434">
        <f t="shared" si="2"/>
        <v>45301</v>
      </c>
      <c r="P16" s="434">
        <f t="shared" si="2"/>
        <v>45302</v>
      </c>
      <c r="Q16" s="434">
        <f t="shared" si="2"/>
        <v>45303</v>
      </c>
      <c r="R16" s="434">
        <f t="shared" si="2"/>
        <v>45304</v>
      </c>
      <c r="S16" s="434">
        <f t="shared" si="2"/>
        <v>45305</v>
      </c>
      <c r="T16" s="434">
        <f t="shared" si="2"/>
        <v>45306</v>
      </c>
      <c r="U16" s="434">
        <f t="shared" si="2"/>
        <v>45307</v>
      </c>
      <c r="V16" s="434">
        <f t="shared" si="2"/>
        <v>45308</v>
      </c>
      <c r="W16" s="434">
        <f t="shared" si="2"/>
        <v>45309</v>
      </c>
      <c r="X16" s="434">
        <f t="shared" si="2"/>
        <v>45310</v>
      </c>
      <c r="Y16" s="434">
        <f t="shared" si="2"/>
        <v>45311</v>
      </c>
      <c r="Z16" s="434">
        <f t="shared" si="2"/>
        <v>45312</v>
      </c>
      <c r="AA16" s="434">
        <f t="shared" si="2"/>
        <v>45313</v>
      </c>
      <c r="AB16" s="434">
        <f t="shared" si="2"/>
        <v>45314</v>
      </c>
      <c r="AC16" s="434">
        <f t="shared" si="2"/>
        <v>45315</v>
      </c>
      <c r="AD16" s="434">
        <f t="shared" si="2"/>
        <v>45316</v>
      </c>
      <c r="AE16" s="434">
        <f t="shared" si="2"/>
        <v>45317</v>
      </c>
      <c r="AF16" s="435">
        <f t="shared" si="2"/>
        <v>45318</v>
      </c>
      <c r="AG16" s="435">
        <f t="shared" si="2"/>
        <v>45319</v>
      </c>
      <c r="AH16" s="435">
        <f t="shared" si="2"/>
        <v>45320</v>
      </c>
      <c r="AI16" s="435">
        <f t="shared" si="2"/>
        <v>45321</v>
      </c>
      <c r="AJ16" s="436">
        <f t="shared" si="2"/>
        <v>45322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1</v>
      </c>
      <c r="G17" s="207">
        <f t="shared" ref="G17:AJ17" si="3">WEEKNUM(G$16,21)</f>
        <v>1</v>
      </c>
      <c r="H17" s="207">
        <f t="shared" si="3"/>
        <v>1</v>
      </c>
      <c r="I17" s="207">
        <f t="shared" si="3"/>
        <v>1</v>
      </c>
      <c r="J17" s="207">
        <f t="shared" si="3"/>
        <v>1</v>
      </c>
      <c r="K17" s="207">
        <f t="shared" si="3"/>
        <v>1</v>
      </c>
      <c r="L17" s="207">
        <f t="shared" si="3"/>
        <v>1</v>
      </c>
      <c r="M17" s="207">
        <f t="shared" si="3"/>
        <v>2</v>
      </c>
      <c r="N17" s="207">
        <f t="shared" si="3"/>
        <v>2</v>
      </c>
      <c r="O17" s="207">
        <f t="shared" si="3"/>
        <v>2</v>
      </c>
      <c r="P17" s="207">
        <f t="shared" si="3"/>
        <v>2</v>
      </c>
      <c r="Q17" s="207">
        <f t="shared" si="3"/>
        <v>2</v>
      </c>
      <c r="R17" s="207">
        <f t="shared" si="3"/>
        <v>2</v>
      </c>
      <c r="S17" s="207">
        <f t="shared" si="3"/>
        <v>2</v>
      </c>
      <c r="T17" s="207">
        <f t="shared" si="3"/>
        <v>3</v>
      </c>
      <c r="U17" s="207">
        <f t="shared" si="3"/>
        <v>3</v>
      </c>
      <c r="V17" s="207">
        <f t="shared" si="3"/>
        <v>3</v>
      </c>
      <c r="W17" s="207">
        <f t="shared" si="3"/>
        <v>3</v>
      </c>
      <c r="X17" s="207">
        <f t="shared" si="3"/>
        <v>3</v>
      </c>
      <c r="Y17" s="207">
        <f t="shared" si="3"/>
        <v>3</v>
      </c>
      <c r="Z17" s="207">
        <f t="shared" si="3"/>
        <v>3</v>
      </c>
      <c r="AA17" s="207">
        <f t="shared" si="3"/>
        <v>4</v>
      </c>
      <c r="AB17" s="207">
        <f t="shared" si="3"/>
        <v>4</v>
      </c>
      <c r="AC17" s="207">
        <f t="shared" si="3"/>
        <v>4</v>
      </c>
      <c r="AD17" s="207">
        <f t="shared" si="3"/>
        <v>4</v>
      </c>
      <c r="AE17" s="207">
        <f t="shared" si="3"/>
        <v>4</v>
      </c>
      <c r="AF17" s="207">
        <f t="shared" si="3"/>
        <v>4</v>
      </c>
      <c r="AG17" s="207">
        <f t="shared" si="3"/>
        <v>4</v>
      </c>
      <c r="AH17" s="207">
        <f t="shared" si="3"/>
        <v>5</v>
      </c>
      <c r="AI17" s="207">
        <f t="shared" si="3"/>
        <v>5</v>
      </c>
      <c r="AJ17" s="208">
        <f t="shared" si="3"/>
        <v>5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45292</v>
      </c>
      <c r="G18" s="28">
        <f t="shared" ref="G18:AJ18" si="4">IF(G14,G16,0)</f>
        <v>45293</v>
      </c>
      <c r="H18" s="27">
        <f t="shared" si="4"/>
        <v>45294</v>
      </c>
      <c r="I18" s="27">
        <f t="shared" si="4"/>
        <v>45295</v>
      </c>
      <c r="J18" s="27">
        <f t="shared" si="4"/>
        <v>45296</v>
      </c>
      <c r="K18" s="27">
        <f t="shared" si="4"/>
        <v>45297</v>
      </c>
      <c r="L18" s="27">
        <f t="shared" si="4"/>
        <v>45298</v>
      </c>
      <c r="M18" s="27">
        <f t="shared" si="4"/>
        <v>45299</v>
      </c>
      <c r="N18" s="27">
        <f t="shared" si="4"/>
        <v>45300</v>
      </c>
      <c r="O18" s="27">
        <f t="shared" si="4"/>
        <v>45301</v>
      </c>
      <c r="P18" s="27">
        <f t="shared" si="4"/>
        <v>45302</v>
      </c>
      <c r="Q18" s="27">
        <f t="shared" si="4"/>
        <v>45303</v>
      </c>
      <c r="R18" s="27">
        <f t="shared" si="4"/>
        <v>45304</v>
      </c>
      <c r="S18" s="27">
        <f t="shared" si="4"/>
        <v>45305</v>
      </c>
      <c r="T18" s="27">
        <f t="shared" si="4"/>
        <v>45306</v>
      </c>
      <c r="U18" s="27">
        <f t="shared" si="4"/>
        <v>45307</v>
      </c>
      <c r="V18" s="27">
        <f t="shared" si="4"/>
        <v>45308</v>
      </c>
      <c r="W18" s="27">
        <f t="shared" si="4"/>
        <v>45309</v>
      </c>
      <c r="X18" s="27">
        <f t="shared" si="4"/>
        <v>45310</v>
      </c>
      <c r="Y18" s="27">
        <f t="shared" si="4"/>
        <v>45311</v>
      </c>
      <c r="Z18" s="27">
        <f t="shared" si="4"/>
        <v>45312</v>
      </c>
      <c r="AA18" s="27">
        <f t="shared" si="4"/>
        <v>45313</v>
      </c>
      <c r="AB18" s="27">
        <f t="shared" si="4"/>
        <v>45314</v>
      </c>
      <c r="AC18" s="27">
        <f t="shared" si="4"/>
        <v>45315</v>
      </c>
      <c r="AD18" s="27">
        <f t="shared" si="4"/>
        <v>45316</v>
      </c>
      <c r="AE18" s="27">
        <f t="shared" si="4"/>
        <v>45317</v>
      </c>
      <c r="AF18" s="27">
        <f t="shared" si="4"/>
        <v>45318</v>
      </c>
      <c r="AG18" s="27">
        <f t="shared" si="4"/>
        <v>45319</v>
      </c>
      <c r="AH18" s="27">
        <f t="shared" si="4"/>
        <v>45320</v>
      </c>
      <c r="AI18" s="202">
        <f t="shared" si="4"/>
        <v>45321</v>
      </c>
      <c r="AJ18" s="202">
        <f t="shared" si="4"/>
        <v>45322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Mo</v>
      </c>
      <c r="G19" s="93" t="str">
        <f>IF(G14=1,TEXT(G$18,H_Label!$B$24&amp;"TTT"),0)</f>
        <v>Di</v>
      </c>
      <c r="H19" s="93" t="str">
        <f>IF(H14=1,TEXT(H$18,H_Label!$B$24&amp;"TTT"),0)</f>
        <v>Mi</v>
      </c>
      <c r="I19" s="93" t="str">
        <f>IF(I14=1,TEXT(I$18,H_Label!$B$24&amp;"TTT"),0)</f>
        <v>Do</v>
      </c>
      <c r="J19" s="93" t="str">
        <f>IF(J14=1,TEXT(J$18,H_Label!$B$24&amp;"TTT"),0)</f>
        <v>Fr</v>
      </c>
      <c r="K19" s="93" t="str">
        <f>IF(K14=1,TEXT(K$18,H_Label!$B$24&amp;"TTT"),0)</f>
        <v>Sa</v>
      </c>
      <c r="L19" s="93" t="str">
        <f>IF(L14=1,TEXT(L$18,H_Label!$B$24&amp;"TTT"),0)</f>
        <v>So</v>
      </c>
      <c r="M19" s="93" t="str">
        <f>IF(M14=1,TEXT(M$18,H_Label!$B$24&amp;"TTT"),0)</f>
        <v>Mo</v>
      </c>
      <c r="N19" s="93" t="str">
        <f>IF(N14=1,TEXT(N$18,H_Label!$B$24&amp;"TTT"),0)</f>
        <v>Di</v>
      </c>
      <c r="O19" s="93" t="str">
        <f>IF(O14=1,TEXT(O$18,H_Label!$B$24&amp;"TTT"),0)</f>
        <v>Mi</v>
      </c>
      <c r="P19" s="93" t="str">
        <f>IF(P14=1,TEXT(P$18,H_Label!$B$24&amp;"TTT"),0)</f>
        <v>Do</v>
      </c>
      <c r="Q19" s="93" t="str">
        <f>IF(Q14=1,TEXT(Q$18,H_Label!$B$24&amp;"TTT"),0)</f>
        <v>Fr</v>
      </c>
      <c r="R19" s="93" t="str">
        <f>IF(R14=1,TEXT(R$18,H_Label!$B$24&amp;"TTT"),0)</f>
        <v>Sa</v>
      </c>
      <c r="S19" s="93" t="str">
        <f>IF(S14=1,TEXT(S$18,H_Label!$B$24&amp;"TTT"),0)</f>
        <v>So</v>
      </c>
      <c r="T19" s="93" t="str">
        <f>IF(T14=1,TEXT(T$18,H_Label!$B$24&amp;"TTT"),0)</f>
        <v>Mo</v>
      </c>
      <c r="U19" s="93" t="str">
        <f>IF(U14=1,TEXT(U$18,H_Label!$B$24&amp;"TTT"),0)</f>
        <v>Di</v>
      </c>
      <c r="V19" s="93" t="str">
        <f>IF(V14=1,TEXT(V$18,H_Label!$B$24&amp;"TTT"),0)</f>
        <v>Mi</v>
      </c>
      <c r="W19" s="93" t="str">
        <f>IF(W14=1,TEXT(W$18,H_Label!$B$24&amp;"TTT"),0)</f>
        <v>Do</v>
      </c>
      <c r="X19" s="93" t="str">
        <f>IF(X14=1,TEXT(X$18,H_Label!$B$24&amp;"TTT"),0)</f>
        <v>Fr</v>
      </c>
      <c r="Y19" s="93" t="str">
        <f>IF(Y14=1,TEXT(Y$18,H_Label!$B$24&amp;"TTT"),0)</f>
        <v>Sa</v>
      </c>
      <c r="Z19" s="93" t="str">
        <f>IF(Z14=1,TEXT(Z$18,H_Label!$B$24&amp;"TTT"),0)</f>
        <v>So</v>
      </c>
      <c r="AA19" s="93" t="str">
        <f>IF(AA14=1,TEXT(AA$18,H_Label!$B$24&amp;"TTT"),0)</f>
        <v>Mo</v>
      </c>
      <c r="AB19" s="93" t="str">
        <f>IF(AB14=1,TEXT(AB$18,H_Label!$B$24&amp;"TTT"),0)</f>
        <v>Di</v>
      </c>
      <c r="AC19" s="93" t="str">
        <f>IF(AC14=1,TEXT(AC$18,H_Label!$B$24&amp;"TTT"),0)</f>
        <v>Mi</v>
      </c>
      <c r="AD19" s="93" t="str">
        <f>IF(AD14=1,TEXT(AD$18,H_Label!$B$24&amp;"TTT"),0)</f>
        <v>Do</v>
      </c>
      <c r="AE19" s="93" t="str">
        <f>IF(AE14=1,TEXT(AE$18,H_Label!$B$24&amp;"TTT"),0)</f>
        <v>Fr</v>
      </c>
      <c r="AF19" s="93" t="str">
        <f>IF(AF14=1,TEXT(AF$18,H_Label!$B$24&amp;"TTT"),0)</f>
        <v>Sa</v>
      </c>
      <c r="AG19" s="93" t="str">
        <f>IF(AG14=1,TEXT(AG$18,H_Label!$B$24&amp;"TTT"),0)</f>
        <v>So</v>
      </c>
      <c r="AH19" s="93" t="str">
        <f>IF(AH14=1,TEXT(AH$18,H_Label!$B$24&amp;"TTT"),0)</f>
        <v>Mo</v>
      </c>
      <c r="AI19" s="93" t="str">
        <f>IF(AI14=1,TEXT(AI$18,H_Label!$B$24&amp;"TTT"),0)</f>
        <v>Di</v>
      </c>
      <c r="AJ19" s="93" t="str">
        <f>IF(AJ14=1,TEXT(AJ$18,H_Label!$B$24&amp;"TTT"),0)</f>
        <v>Mi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Feb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Feb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7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si="12"/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2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3">ROUND(SUM(H37:H45),4)</f>
        <v>0</v>
      </c>
      <c r="I48" s="442">
        <f t="shared" si="13"/>
        <v>0</v>
      </c>
      <c r="J48" s="442">
        <f t="shared" si="13"/>
        <v>0</v>
      </c>
      <c r="K48" s="442">
        <f t="shared" si="13"/>
        <v>0</v>
      </c>
      <c r="L48" s="442">
        <f t="shared" si="13"/>
        <v>0</v>
      </c>
      <c r="M48" s="442">
        <f t="shared" si="13"/>
        <v>0</v>
      </c>
      <c r="N48" s="442">
        <f t="shared" si="13"/>
        <v>0</v>
      </c>
      <c r="O48" s="442">
        <f t="shared" si="13"/>
        <v>0</v>
      </c>
      <c r="P48" s="442">
        <f t="shared" si="13"/>
        <v>0</v>
      </c>
      <c r="Q48" s="442">
        <f t="shared" si="13"/>
        <v>0</v>
      </c>
      <c r="R48" s="442">
        <f t="shared" si="13"/>
        <v>0</v>
      </c>
      <c r="S48" s="442">
        <f t="shared" si="13"/>
        <v>0</v>
      </c>
      <c r="T48" s="442">
        <f t="shared" si="13"/>
        <v>0</v>
      </c>
      <c r="U48" s="442">
        <f t="shared" si="13"/>
        <v>0</v>
      </c>
      <c r="V48" s="442">
        <f t="shared" si="13"/>
        <v>0</v>
      </c>
      <c r="W48" s="442">
        <f t="shared" si="13"/>
        <v>0</v>
      </c>
      <c r="X48" s="442">
        <f t="shared" si="13"/>
        <v>0</v>
      </c>
      <c r="Y48" s="442">
        <f t="shared" si="13"/>
        <v>0</v>
      </c>
      <c r="Z48" s="442">
        <f t="shared" si="13"/>
        <v>0</v>
      </c>
      <c r="AA48" s="442">
        <f t="shared" si="13"/>
        <v>0</v>
      </c>
      <c r="AB48" s="442">
        <f t="shared" si="13"/>
        <v>0</v>
      </c>
      <c r="AC48" s="442">
        <f t="shared" si="13"/>
        <v>0</v>
      </c>
      <c r="AD48" s="442">
        <f t="shared" si="13"/>
        <v>0</v>
      </c>
      <c r="AE48" s="442">
        <f t="shared" si="13"/>
        <v>0</v>
      </c>
      <c r="AF48" s="442">
        <f t="shared" si="13"/>
        <v>0</v>
      </c>
      <c r="AG48" s="442">
        <f t="shared" si="13"/>
        <v>0</v>
      </c>
      <c r="AH48" s="442">
        <f t="shared" si="13"/>
        <v>0</v>
      </c>
      <c r="AI48" s="442">
        <f t="shared" si="13"/>
        <v>0</v>
      </c>
      <c r="AJ48" s="443">
        <f t="shared" si="13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dYQ7fl1MaHKrIFnxx0jYEFcJ3abwG0cD+Z0A7VXWCCmouaNVxXGa5X6+Y63gM27Dx8/rcm3zIPG9LBvki2kcmw==" saltValue="l/xM6/6wamFwVlLBmFkrGw==" spinCount="100000" sheet="1" objects="1" scenarios="1"/>
  <mergeCells count="23">
    <mergeCell ref="F60:M61"/>
    <mergeCell ref="V60:AC61"/>
    <mergeCell ref="AH60:AJ61"/>
    <mergeCell ref="B12:B15"/>
    <mergeCell ref="AB3:AD3"/>
    <mergeCell ref="D2:D4"/>
    <mergeCell ref="F55:AJ55"/>
    <mergeCell ref="F56:AJ56"/>
    <mergeCell ref="F8:K8"/>
    <mergeCell ref="F9:G9"/>
    <mergeCell ref="H9:K9"/>
    <mergeCell ref="Y6:AJ6"/>
    <mergeCell ref="AI5:AJ5"/>
    <mergeCell ref="J3:L3"/>
    <mergeCell ref="T3:V3"/>
    <mergeCell ref="F57:AJ57"/>
    <mergeCell ref="W53:Y53"/>
    <mergeCell ref="AH53:AJ53"/>
    <mergeCell ref="F10:G10"/>
    <mergeCell ref="H10:K10"/>
    <mergeCell ref="F12:I12"/>
    <mergeCell ref="J12:K12"/>
    <mergeCell ref="K53:M53"/>
  </mergeCells>
  <conditionalFormatting sqref="D35:AJ35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6 F29:AJ29 F31:AJ32 F34:AJ48 F50:AJ51">
    <cfRule type="expression" dxfId="219" priority="25">
      <formula>F$21="ft"</formula>
    </cfRule>
  </conditionalFormatting>
  <conditionalFormatting sqref="F18:AJ21 F23:AJ27 F29:AJ32 F34:AJ48 F50:AJ51">
    <cfRule type="expression" dxfId="218" priority="9">
      <formula>AND(F$14=0,$B18=0)</formula>
    </cfRule>
  </conditionalFormatting>
  <conditionalFormatting sqref="F26:AJ27 F30:AJ30">
    <cfRule type="expression" dxfId="217" priority="12">
      <formula>OR(WEEKDAY(F$16,2)=7,F$15=2)</formula>
    </cfRule>
  </conditionalFormatting>
  <conditionalFormatting sqref="F34:AJ48 F50:AJ51 F18:AJ21 F23:AJ26 F29:AJ29 F31:AJ32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0:AJ51">
    <cfRule type="containsText" dxfId="214" priority="14" operator="containsText" text="x">
      <formula>NOT(ISERROR(SEARCH("x",F50)))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2" priority="2">
      <formula>H_fldFerienEndSaldo&lt;0</formula>
    </cfRule>
  </conditionalFormatting>
  <conditionalFormatting sqref="AG18:AJ21 AG23:AJ27 AG29:AJ32 AG34:AJ48 AG50:AJ51">
    <cfRule type="expression" dxfId="211" priority="6">
      <formula>AND(AG$14=0,$B18&lt;&gt;0)</formula>
    </cfRule>
    <cfRule type="expression" dxfId="210" priority="8">
      <formula>AG$15=2</formula>
    </cfRule>
  </conditionalFormatting>
  <conditionalFormatting sqref="AJ17:AJ21 AJ23:AJ27 AJ29:AJ32 AJ34:AJ48 AJ50:AJ51">
    <cfRule type="expression" dxfId="209" priority="5">
      <formula>AK$15="m"</formula>
    </cfRule>
  </conditionalFormatting>
  <dataValidations count="10">
    <dataValidation type="decimal" operator="greaterThanOrEqual" allowBlank="1" showInputMessage="1" showErrorMessage="1" errorTitle="Ungültige Eingabe" error="Bitte geben Sie einen Zahlwert ein._x000a_Dezimalwerte sind mit einem . abzutrennen." sqref="F37:AK47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0:AJ50" xr:uid="{6BBBA705-A712-4E5E-8EA9-B519FAE57CAC}">
      <formula1>ISBLANK(F38)=FALSE</formula1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83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12D1-9071-42DE-A4D8-2C4716C74EFA}">
  <sheetPr codeName="m02feb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Februar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45323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Februar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-168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2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0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2</v>
      </c>
      <c r="AI15" s="427">
        <f t="shared" si="1"/>
        <v>1</v>
      </c>
      <c r="AJ15" s="428">
        <f t="shared" si="1"/>
        <v>0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45323</v>
      </c>
      <c r="G16" s="431">
        <f>F$16+1</f>
        <v>45324</v>
      </c>
      <c r="H16" s="431">
        <f t="shared" ref="H16:AJ16" si="2">G$16+1</f>
        <v>45325</v>
      </c>
      <c r="I16" s="431">
        <f t="shared" si="2"/>
        <v>45326</v>
      </c>
      <c r="J16" s="431">
        <f t="shared" si="2"/>
        <v>45327</v>
      </c>
      <c r="K16" s="431">
        <f t="shared" si="2"/>
        <v>45328</v>
      </c>
      <c r="L16" s="432">
        <f t="shared" si="2"/>
        <v>45329</v>
      </c>
      <c r="M16" s="432">
        <f t="shared" si="2"/>
        <v>45330</v>
      </c>
      <c r="N16" s="433">
        <f t="shared" si="2"/>
        <v>45331</v>
      </c>
      <c r="O16" s="434">
        <f t="shared" si="2"/>
        <v>45332</v>
      </c>
      <c r="P16" s="434">
        <f t="shared" si="2"/>
        <v>45333</v>
      </c>
      <c r="Q16" s="434">
        <f t="shared" si="2"/>
        <v>45334</v>
      </c>
      <c r="R16" s="434">
        <f t="shared" si="2"/>
        <v>45335</v>
      </c>
      <c r="S16" s="434">
        <f t="shared" si="2"/>
        <v>45336</v>
      </c>
      <c r="T16" s="434">
        <f t="shared" si="2"/>
        <v>45337</v>
      </c>
      <c r="U16" s="434">
        <f t="shared" si="2"/>
        <v>45338</v>
      </c>
      <c r="V16" s="434">
        <f t="shared" si="2"/>
        <v>45339</v>
      </c>
      <c r="W16" s="434">
        <f t="shared" si="2"/>
        <v>45340</v>
      </c>
      <c r="X16" s="434">
        <f t="shared" si="2"/>
        <v>45341</v>
      </c>
      <c r="Y16" s="434">
        <f t="shared" si="2"/>
        <v>45342</v>
      </c>
      <c r="Z16" s="434">
        <f t="shared" si="2"/>
        <v>45343</v>
      </c>
      <c r="AA16" s="434">
        <f t="shared" si="2"/>
        <v>45344</v>
      </c>
      <c r="AB16" s="434">
        <f t="shared" si="2"/>
        <v>45345</v>
      </c>
      <c r="AC16" s="434">
        <f t="shared" si="2"/>
        <v>45346</v>
      </c>
      <c r="AD16" s="434">
        <f t="shared" si="2"/>
        <v>45347</v>
      </c>
      <c r="AE16" s="434">
        <f t="shared" si="2"/>
        <v>45348</v>
      </c>
      <c r="AF16" s="435">
        <f t="shared" si="2"/>
        <v>45349</v>
      </c>
      <c r="AG16" s="435">
        <f t="shared" si="2"/>
        <v>45350</v>
      </c>
      <c r="AH16" s="435">
        <f t="shared" si="2"/>
        <v>45351</v>
      </c>
      <c r="AI16" s="435">
        <f t="shared" si="2"/>
        <v>45352</v>
      </c>
      <c r="AJ16" s="436">
        <f t="shared" si="2"/>
        <v>45353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5</v>
      </c>
      <c r="G17" s="207">
        <f t="shared" ref="G17:AJ17" si="3">WEEKNUM(G$16,21)</f>
        <v>5</v>
      </c>
      <c r="H17" s="207">
        <f t="shared" si="3"/>
        <v>5</v>
      </c>
      <c r="I17" s="207">
        <f t="shared" si="3"/>
        <v>5</v>
      </c>
      <c r="J17" s="207">
        <f t="shared" si="3"/>
        <v>6</v>
      </c>
      <c r="K17" s="207">
        <f t="shared" si="3"/>
        <v>6</v>
      </c>
      <c r="L17" s="207">
        <f t="shared" si="3"/>
        <v>6</v>
      </c>
      <c r="M17" s="207">
        <f t="shared" si="3"/>
        <v>6</v>
      </c>
      <c r="N17" s="207">
        <f t="shared" si="3"/>
        <v>6</v>
      </c>
      <c r="O17" s="207">
        <f t="shared" si="3"/>
        <v>6</v>
      </c>
      <c r="P17" s="207">
        <f t="shared" si="3"/>
        <v>6</v>
      </c>
      <c r="Q17" s="207">
        <f t="shared" si="3"/>
        <v>7</v>
      </c>
      <c r="R17" s="207">
        <f t="shared" si="3"/>
        <v>7</v>
      </c>
      <c r="S17" s="207">
        <f t="shared" si="3"/>
        <v>7</v>
      </c>
      <c r="T17" s="207">
        <f t="shared" si="3"/>
        <v>7</v>
      </c>
      <c r="U17" s="207">
        <f t="shared" si="3"/>
        <v>7</v>
      </c>
      <c r="V17" s="207">
        <f t="shared" si="3"/>
        <v>7</v>
      </c>
      <c r="W17" s="207">
        <f t="shared" si="3"/>
        <v>7</v>
      </c>
      <c r="X17" s="207">
        <f t="shared" si="3"/>
        <v>8</v>
      </c>
      <c r="Y17" s="207">
        <f t="shared" si="3"/>
        <v>8</v>
      </c>
      <c r="Z17" s="207">
        <f t="shared" si="3"/>
        <v>8</v>
      </c>
      <c r="AA17" s="207">
        <f t="shared" si="3"/>
        <v>8</v>
      </c>
      <c r="AB17" s="207">
        <f t="shared" si="3"/>
        <v>8</v>
      </c>
      <c r="AC17" s="207">
        <f t="shared" si="3"/>
        <v>8</v>
      </c>
      <c r="AD17" s="207">
        <f t="shared" si="3"/>
        <v>8</v>
      </c>
      <c r="AE17" s="207">
        <f t="shared" si="3"/>
        <v>9</v>
      </c>
      <c r="AF17" s="207">
        <f t="shared" si="3"/>
        <v>9</v>
      </c>
      <c r="AG17" s="207">
        <f t="shared" si="3"/>
        <v>9</v>
      </c>
      <c r="AH17" s="207">
        <f t="shared" si="3"/>
        <v>9</v>
      </c>
      <c r="AI17" s="207">
        <f t="shared" si="3"/>
        <v>9</v>
      </c>
      <c r="AJ17" s="208">
        <f t="shared" si="3"/>
        <v>9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45323</v>
      </c>
      <c r="G18" s="28">
        <f t="shared" ref="G18:AJ18" si="4">IF(G14,G16,0)</f>
        <v>45324</v>
      </c>
      <c r="H18" s="27">
        <f t="shared" si="4"/>
        <v>45325</v>
      </c>
      <c r="I18" s="27">
        <f t="shared" si="4"/>
        <v>45326</v>
      </c>
      <c r="J18" s="27">
        <f t="shared" si="4"/>
        <v>45327</v>
      </c>
      <c r="K18" s="27">
        <f t="shared" si="4"/>
        <v>45328</v>
      </c>
      <c r="L18" s="27">
        <f t="shared" si="4"/>
        <v>45329</v>
      </c>
      <c r="M18" s="27">
        <f t="shared" si="4"/>
        <v>45330</v>
      </c>
      <c r="N18" s="27">
        <f t="shared" si="4"/>
        <v>45331</v>
      </c>
      <c r="O18" s="27">
        <f t="shared" si="4"/>
        <v>45332</v>
      </c>
      <c r="P18" s="27">
        <f t="shared" si="4"/>
        <v>45333</v>
      </c>
      <c r="Q18" s="27">
        <f t="shared" si="4"/>
        <v>45334</v>
      </c>
      <c r="R18" s="27">
        <f t="shared" si="4"/>
        <v>45335</v>
      </c>
      <c r="S18" s="27">
        <f t="shared" si="4"/>
        <v>45336</v>
      </c>
      <c r="T18" s="27">
        <f t="shared" si="4"/>
        <v>45337</v>
      </c>
      <c r="U18" s="27">
        <f t="shared" si="4"/>
        <v>45338</v>
      </c>
      <c r="V18" s="27">
        <f t="shared" si="4"/>
        <v>45339</v>
      </c>
      <c r="W18" s="27">
        <f t="shared" si="4"/>
        <v>45340</v>
      </c>
      <c r="X18" s="27">
        <f t="shared" si="4"/>
        <v>45341</v>
      </c>
      <c r="Y18" s="27">
        <f t="shared" si="4"/>
        <v>45342</v>
      </c>
      <c r="Z18" s="27">
        <f t="shared" si="4"/>
        <v>45343</v>
      </c>
      <c r="AA18" s="27">
        <f t="shared" si="4"/>
        <v>45344</v>
      </c>
      <c r="AB18" s="27">
        <f t="shared" si="4"/>
        <v>45345</v>
      </c>
      <c r="AC18" s="27">
        <f t="shared" si="4"/>
        <v>45346</v>
      </c>
      <c r="AD18" s="27">
        <f t="shared" si="4"/>
        <v>45347</v>
      </c>
      <c r="AE18" s="27">
        <f t="shared" si="4"/>
        <v>45348</v>
      </c>
      <c r="AF18" s="27">
        <f t="shared" si="4"/>
        <v>45349</v>
      </c>
      <c r="AG18" s="27">
        <f t="shared" si="4"/>
        <v>45350</v>
      </c>
      <c r="AH18" s="27">
        <f t="shared" si="4"/>
        <v>45351</v>
      </c>
      <c r="AI18" s="202">
        <f t="shared" si="4"/>
        <v>0</v>
      </c>
      <c r="AJ18" s="202">
        <f t="shared" si="4"/>
        <v>0</v>
      </c>
      <c r="AK18" s="408"/>
      <c r="AL18" s="116">
        <f>_xlfn.DAYS(EOMONTH($F$18,0),$F$18)+1</f>
        <v>29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Do</v>
      </c>
      <c r="G19" s="93" t="str">
        <f>IF(G14=1,TEXT(G$18,H_Label!$B$24&amp;"TTT"),0)</f>
        <v>Fr</v>
      </c>
      <c r="H19" s="93" t="str">
        <f>IF(H14=1,TEXT(H$18,H_Label!$B$24&amp;"TTT"),0)</f>
        <v>Sa</v>
      </c>
      <c r="I19" s="93" t="str">
        <f>IF(I14=1,TEXT(I$18,H_Label!$B$24&amp;"TTT"),0)</f>
        <v>So</v>
      </c>
      <c r="J19" s="93" t="str">
        <f>IF(J14=1,TEXT(J$18,H_Label!$B$24&amp;"TTT"),0)</f>
        <v>Mo</v>
      </c>
      <c r="K19" s="93" t="str">
        <f>IF(K14=1,TEXT(K$18,H_Label!$B$24&amp;"TTT"),0)</f>
        <v>Di</v>
      </c>
      <c r="L19" s="93" t="str">
        <f>IF(L14=1,TEXT(L$18,H_Label!$B$24&amp;"TTT"),0)</f>
        <v>Mi</v>
      </c>
      <c r="M19" s="93" t="str">
        <f>IF(M14=1,TEXT(M$18,H_Label!$B$24&amp;"TTT"),0)</f>
        <v>Do</v>
      </c>
      <c r="N19" s="93" t="str">
        <f>IF(N14=1,TEXT(N$18,H_Label!$B$24&amp;"TTT"),0)</f>
        <v>Fr</v>
      </c>
      <c r="O19" s="93" t="str">
        <f>IF(O14=1,TEXT(O$18,H_Label!$B$24&amp;"TTT"),0)</f>
        <v>Sa</v>
      </c>
      <c r="P19" s="93" t="str">
        <f>IF(P14=1,TEXT(P$18,H_Label!$B$24&amp;"TTT"),0)</f>
        <v>So</v>
      </c>
      <c r="Q19" s="93" t="str">
        <f>IF(Q14=1,TEXT(Q$18,H_Label!$B$24&amp;"TTT"),0)</f>
        <v>Mo</v>
      </c>
      <c r="R19" s="93" t="str">
        <f>IF(R14=1,TEXT(R$18,H_Label!$B$24&amp;"TTT"),0)</f>
        <v>Di</v>
      </c>
      <c r="S19" s="93" t="str">
        <f>IF(S14=1,TEXT(S$18,H_Label!$B$24&amp;"TTT"),0)</f>
        <v>Mi</v>
      </c>
      <c r="T19" s="93" t="str">
        <f>IF(T14=1,TEXT(T$18,H_Label!$B$24&amp;"TTT"),0)</f>
        <v>Do</v>
      </c>
      <c r="U19" s="93" t="str">
        <f>IF(U14=1,TEXT(U$18,H_Label!$B$24&amp;"TTT"),0)</f>
        <v>Fr</v>
      </c>
      <c r="V19" s="93" t="str">
        <f>IF(V14=1,TEXT(V$18,H_Label!$B$24&amp;"TTT"),0)</f>
        <v>Sa</v>
      </c>
      <c r="W19" s="93" t="str">
        <f>IF(W14=1,TEXT(W$18,H_Label!$B$24&amp;"TTT"),0)</f>
        <v>So</v>
      </c>
      <c r="X19" s="93" t="str">
        <f>IF(X14=1,TEXT(X$18,H_Label!$B$24&amp;"TTT"),0)</f>
        <v>Mo</v>
      </c>
      <c r="Y19" s="93" t="str">
        <f>IF(Y14=1,TEXT(Y$18,H_Label!$B$24&amp;"TTT"),0)</f>
        <v>Di</v>
      </c>
      <c r="Z19" s="93" t="str">
        <f>IF(Z14=1,TEXT(Z$18,H_Label!$B$24&amp;"TTT"),0)</f>
        <v>Mi</v>
      </c>
      <c r="AA19" s="93" t="str">
        <f>IF(AA14=1,TEXT(AA$18,H_Label!$B$24&amp;"TTT"),0)</f>
        <v>Do</v>
      </c>
      <c r="AB19" s="93" t="str">
        <f>IF(AB14=1,TEXT(AB$18,H_Label!$B$24&amp;"TTT"),0)</f>
        <v>Fr</v>
      </c>
      <c r="AC19" s="93" t="str">
        <f>IF(AC14=1,TEXT(AC$18,H_Label!$B$24&amp;"TTT"),0)</f>
        <v>Sa</v>
      </c>
      <c r="AD19" s="93" t="str">
        <f>IF(AD14=1,TEXT(AD$18,H_Label!$B$24&amp;"TTT"),0)</f>
        <v>So</v>
      </c>
      <c r="AE19" s="93" t="str">
        <f>IF(AE14=1,TEXT(AE$18,H_Label!$B$24&amp;"TTT"),0)</f>
        <v>Mo</v>
      </c>
      <c r="AF19" s="93" t="str">
        <f>IF(AF14=1,TEXT(AF$18,H_Label!$B$24&amp;"TTT"),0)</f>
        <v>Di</v>
      </c>
      <c r="AG19" s="93" t="str">
        <f>IF(AG14=1,TEXT(AG$18,H_Label!$B$24&amp;"TTT"),0)</f>
        <v>Mi</v>
      </c>
      <c r="AH19" s="93" t="str">
        <f>IF(AH14=1,TEXT(AH$18,H_Label!$B$24&amp;"TTT"),0)</f>
        <v>Do</v>
      </c>
      <c r="AI19" s="93">
        <f>IF(AI14=1,TEXT(AI$18,H_Label!$B$24&amp;"TTT"),0)</f>
        <v>0</v>
      </c>
      <c r="AJ19" s="93">
        <f>IF(AJ14=1,TEXT(AJ$18,H_Label!$B$24&amp;"TTT"),0)</f>
        <v>0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0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0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0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0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t="str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Mrz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>Mrz</v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7g3sOJc+kTLh7R4y4YnQyk+pLQinaokXIiKY71X7E2YLUHZkltdAwK8SEWkvM6wbpUdfJRN23z0iZ5HMKng7Cw==" saltValue="9BFjDHooVJXVhm17YL0Kn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6 F29:AJ29 F31:AJ32 F34:AJ48 F50:AJ51">
    <cfRule type="expression" dxfId="201" priority="17">
      <formula>F$21="ft"</formula>
    </cfRule>
  </conditionalFormatting>
  <conditionalFormatting sqref="F18:AJ21 F23:AJ27 F29:AJ32 F34:AJ48 F50:AJ51">
    <cfRule type="expression" dxfId="200" priority="8">
      <formula>AND(F$14=0,$B18=0)</formula>
    </cfRule>
  </conditionalFormatting>
  <conditionalFormatting sqref="F26:AJ27 F30:AJ30">
    <cfRule type="expression" dxfId="199" priority="10">
      <formula>OR(WEEKDAY(F$16,2)=7,F$15=2)</formula>
    </cfRule>
  </conditionalFormatting>
  <conditionalFormatting sqref="F34:AJ48 F50:AJ51 F18:AJ21 F23:AJ26 F29:AJ29 F31:AJ32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0:AJ51">
    <cfRule type="containsText" dxfId="196" priority="11" operator="containsText" text="x">
      <formula>NOT(ISERROR(SEARCH("x",F50)))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4" priority="2">
      <formula>H_fldFerienEndSaldo&lt;0</formula>
    </cfRule>
  </conditionalFormatting>
  <conditionalFormatting sqref="AG18:AJ21 AG23:AJ27 AG29:AJ32 AG34:AJ48 AG50:AJ51">
    <cfRule type="expression" dxfId="193" priority="6">
      <formula>AND(AG$14=0,$B18&lt;&gt;0)</formula>
    </cfRule>
    <cfRule type="expression" dxfId="192" priority="7">
      <formula>AG$15=2</formula>
    </cfRule>
  </conditionalFormatting>
  <conditionalFormatting sqref="AJ17:AJ21 AJ23:AJ27 AJ29:AJ32 AJ34:AJ48 AJ50:AJ51">
    <cfRule type="expression" dxfId="19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B7F45BCF-F282-4026-91C8-3A542B194752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D1ADD543-DE4F-47A3-BCD4-46FBDA1243EA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86EFF6B-B652-4B41-93F4-D646F9A90B3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C6710A9A-B710-4C99-9B9B-E4990E12A06E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F445A8BE-66D3-43AC-B383-80103F17EE80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32E4159A-1F89-477F-A9B2-64E8689B8E1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A39C297-6FF0-4389-9D1E-14BFA55582B4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70A2C515-444A-4195-B80E-EEF078A65E3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0860937-B810-4F79-8458-48EF796994EB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35E19E53-CCD2-4119-B190-08B2ECB914FF}">
      <formula1>-4000</formula1>
    </dataValidation>
  </dataValidations>
  <hyperlinks>
    <hyperlink ref="AJ12" location="Jahresauswertung!H3" display="." xr:uid="{2E5B44C7-7543-444F-A735-7008F5E92AB3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869C3E-6357-4F03-BB31-EB1CD8F24090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30FE5814-519B-4844-91EC-5FF5466FCC46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E82A-E7A3-442F-A000-A3186899195C}">
  <sheetPr codeName="m03mrz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März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45352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März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-168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3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45352</v>
      </c>
      <c r="G16" s="431">
        <f>F$16+1</f>
        <v>45353</v>
      </c>
      <c r="H16" s="431">
        <f t="shared" ref="H16:AJ16" si="2">G$16+1</f>
        <v>45354</v>
      </c>
      <c r="I16" s="431">
        <f t="shared" si="2"/>
        <v>45355</v>
      </c>
      <c r="J16" s="431">
        <f t="shared" si="2"/>
        <v>45356</v>
      </c>
      <c r="K16" s="431">
        <f t="shared" si="2"/>
        <v>45357</v>
      </c>
      <c r="L16" s="432">
        <f t="shared" si="2"/>
        <v>45358</v>
      </c>
      <c r="M16" s="432">
        <f t="shared" si="2"/>
        <v>45359</v>
      </c>
      <c r="N16" s="433">
        <f t="shared" si="2"/>
        <v>45360</v>
      </c>
      <c r="O16" s="434">
        <f t="shared" si="2"/>
        <v>45361</v>
      </c>
      <c r="P16" s="434">
        <f t="shared" si="2"/>
        <v>45362</v>
      </c>
      <c r="Q16" s="434">
        <f t="shared" si="2"/>
        <v>45363</v>
      </c>
      <c r="R16" s="434">
        <f t="shared" si="2"/>
        <v>45364</v>
      </c>
      <c r="S16" s="434">
        <f t="shared" si="2"/>
        <v>45365</v>
      </c>
      <c r="T16" s="434">
        <f t="shared" si="2"/>
        <v>45366</v>
      </c>
      <c r="U16" s="434">
        <f t="shared" si="2"/>
        <v>45367</v>
      </c>
      <c r="V16" s="434">
        <f t="shared" si="2"/>
        <v>45368</v>
      </c>
      <c r="W16" s="434">
        <f t="shared" si="2"/>
        <v>45369</v>
      </c>
      <c r="X16" s="434">
        <f t="shared" si="2"/>
        <v>45370</v>
      </c>
      <c r="Y16" s="434">
        <f t="shared" si="2"/>
        <v>45371</v>
      </c>
      <c r="Z16" s="434">
        <f t="shared" si="2"/>
        <v>45372</v>
      </c>
      <c r="AA16" s="434">
        <f t="shared" si="2"/>
        <v>45373</v>
      </c>
      <c r="AB16" s="434">
        <f t="shared" si="2"/>
        <v>45374</v>
      </c>
      <c r="AC16" s="434">
        <f t="shared" si="2"/>
        <v>45375</v>
      </c>
      <c r="AD16" s="434">
        <f t="shared" si="2"/>
        <v>45376</v>
      </c>
      <c r="AE16" s="434">
        <f t="shared" si="2"/>
        <v>45377</v>
      </c>
      <c r="AF16" s="435">
        <f t="shared" si="2"/>
        <v>45378</v>
      </c>
      <c r="AG16" s="435">
        <f t="shared" si="2"/>
        <v>45379</v>
      </c>
      <c r="AH16" s="435">
        <f t="shared" si="2"/>
        <v>45380</v>
      </c>
      <c r="AI16" s="435">
        <f t="shared" si="2"/>
        <v>45381</v>
      </c>
      <c r="AJ16" s="436">
        <f t="shared" si="2"/>
        <v>45382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9</v>
      </c>
      <c r="G17" s="207">
        <f t="shared" ref="G17:AJ17" si="3">WEEKNUM(G$16,21)</f>
        <v>9</v>
      </c>
      <c r="H17" s="207">
        <f t="shared" si="3"/>
        <v>9</v>
      </c>
      <c r="I17" s="207">
        <f t="shared" si="3"/>
        <v>10</v>
      </c>
      <c r="J17" s="207">
        <f t="shared" si="3"/>
        <v>10</v>
      </c>
      <c r="K17" s="207">
        <f t="shared" si="3"/>
        <v>10</v>
      </c>
      <c r="L17" s="207">
        <f t="shared" si="3"/>
        <v>10</v>
      </c>
      <c r="M17" s="207">
        <f t="shared" si="3"/>
        <v>10</v>
      </c>
      <c r="N17" s="207">
        <f t="shared" si="3"/>
        <v>10</v>
      </c>
      <c r="O17" s="207">
        <f t="shared" si="3"/>
        <v>10</v>
      </c>
      <c r="P17" s="207">
        <f t="shared" si="3"/>
        <v>11</v>
      </c>
      <c r="Q17" s="207">
        <f t="shared" si="3"/>
        <v>11</v>
      </c>
      <c r="R17" s="207">
        <f t="shared" si="3"/>
        <v>11</v>
      </c>
      <c r="S17" s="207">
        <f t="shared" si="3"/>
        <v>11</v>
      </c>
      <c r="T17" s="207">
        <f t="shared" si="3"/>
        <v>11</v>
      </c>
      <c r="U17" s="207">
        <f t="shared" si="3"/>
        <v>11</v>
      </c>
      <c r="V17" s="207">
        <f t="shared" si="3"/>
        <v>11</v>
      </c>
      <c r="W17" s="207">
        <f t="shared" si="3"/>
        <v>12</v>
      </c>
      <c r="X17" s="207">
        <f t="shared" si="3"/>
        <v>12</v>
      </c>
      <c r="Y17" s="207">
        <f t="shared" si="3"/>
        <v>12</v>
      </c>
      <c r="Z17" s="207">
        <f t="shared" si="3"/>
        <v>12</v>
      </c>
      <c r="AA17" s="207">
        <f t="shared" si="3"/>
        <v>12</v>
      </c>
      <c r="AB17" s="207">
        <f t="shared" si="3"/>
        <v>12</v>
      </c>
      <c r="AC17" s="207">
        <f t="shared" si="3"/>
        <v>12</v>
      </c>
      <c r="AD17" s="207">
        <f t="shared" si="3"/>
        <v>13</v>
      </c>
      <c r="AE17" s="207">
        <f t="shared" si="3"/>
        <v>13</v>
      </c>
      <c r="AF17" s="207">
        <f t="shared" si="3"/>
        <v>13</v>
      </c>
      <c r="AG17" s="207">
        <f t="shared" si="3"/>
        <v>13</v>
      </c>
      <c r="AH17" s="207">
        <f t="shared" si="3"/>
        <v>13</v>
      </c>
      <c r="AI17" s="207">
        <f t="shared" si="3"/>
        <v>13</v>
      </c>
      <c r="AJ17" s="208">
        <f t="shared" si="3"/>
        <v>13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45352</v>
      </c>
      <c r="G18" s="28">
        <f t="shared" ref="G18:AJ18" si="4">IF(G14,G16,0)</f>
        <v>45353</v>
      </c>
      <c r="H18" s="27">
        <f t="shared" si="4"/>
        <v>45354</v>
      </c>
      <c r="I18" s="27">
        <f t="shared" si="4"/>
        <v>45355</v>
      </c>
      <c r="J18" s="27">
        <f t="shared" si="4"/>
        <v>45356</v>
      </c>
      <c r="K18" s="27">
        <f t="shared" si="4"/>
        <v>45357</v>
      </c>
      <c r="L18" s="27">
        <f t="shared" si="4"/>
        <v>45358</v>
      </c>
      <c r="M18" s="27">
        <f t="shared" si="4"/>
        <v>45359</v>
      </c>
      <c r="N18" s="27">
        <f t="shared" si="4"/>
        <v>45360</v>
      </c>
      <c r="O18" s="27">
        <f t="shared" si="4"/>
        <v>45361</v>
      </c>
      <c r="P18" s="27">
        <f t="shared" si="4"/>
        <v>45362</v>
      </c>
      <c r="Q18" s="27">
        <f t="shared" si="4"/>
        <v>45363</v>
      </c>
      <c r="R18" s="27">
        <f t="shared" si="4"/>
        <v>45364</v>
      </c>
      <c r="S18" s="27">
        <f t="shared" si="4"/>
        <v>45365</v>
      </c>
      <c r="T18" s="27">
        <f t="shared" si="4"/>
        <v>45366</v>
      </c>
      <c r="U18" s="27">
        <f t="shared" si="4"/>
        <v>45367</v>
      </c>
      <c r="V18" s="27">
        <f t="shared" si="4"/>
        <v>45368</v>
      </c>
      <c r="W18" s="27">
        <f t="shared" si="4"/>
        <v>45369</v>
      </c>
      <c r="X18" s="27">
        <f t="shared" si="4"/>
        <v>45370</v>
      </c>
      <c r="Y18" s="27">
        <f t="shared" si="4"/>
        <v>45371</v>
      </c>
      <c r="Z18" s="27">
        <f t="shared" si="4"/>
        <v>45372</v>
      </c>
      <c r="AA18" s="27">
        <f t="shared" si="4"/>
        <v>45373</v>
      </c>
      <c r="AB18" s="27">
        <f t="shared" si="4"/>
        <v>45374</v>
      </c>
      <c r="AC18" s="27">
        <f t="shared" si="4"/>
        <v>45375</v>
      </c>
      <c r="AD18" s="27">
        <f t="shared" si="4"/>
        <v>45376</v>
      </c>
      <c r="AE18" s="27">
        <f t="shared" si="4"/>
        <v>45377</v>
      </c>
      <c r="AF18" s="27">
        <f t="shared" si="4"/>
        <v>45378</v>
      </c>
      <c r="AG18" s="27">
        <f t="shared" si="4"/>
        <v>45379</v>
      </c>
      <c r="AH18" s="27">
        <f t="shared" si="4"/>
        <v>45380</v>
      </c>
      <c r="AI18" s="202">
        <f t="shared" si="4"/>
        <v>45381</v>
      </c>
      <c r="AJ18" s="202">
        <f t="shared" si="4"/>
        <v>45382</v>
      </c>
      <c r="AK18" s="408"/>
      <c r="AL18" s="116">
        <f>_xlfn.DAYS(EOMONTH($F$18,0),$F$18)+1</f>
        <v>31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Fr</v>
      </c>
      <c r="G19" s="93" t="str">
        <f>IF(G14=1,TEXT(G$18,H_Label!$B$24&amp;"TTT"),0)</f>
        <v>Sa</v>
      </c>
      <c r="H19" s="93" t="str">
        <f>IF(H14=1,TEXT(H$18,H_Label!$B$24&amp;"TTT"),0)</f>
        <v>So</v>
      </c>
      <c r="I19" s="93" t="str">
        <f>IF(I14=1,TEXT(I$18,H_Label!$B$24&amp;"TTT"),0)</f>
        <v>Mo</v>
      </c>
      <c r="J19" s="93" t="str">
        <f>IF(J14=1,TEXT(J$18,H_Label!$B$24&amp;"TTT"),0)</f>
        <v>Di</v>
      </c>
      <c r="K19" s="93" t="str">
        <f>IF(K14=1,TEXT(K$18,H_Label!$B$24&amp;"TTT"),0)</f>
        <v>Mi</v>
      </c>
      <c r="L19" s="93" t="str">
        <f>IF(L14=1,TEXT(L$18,H_Label!$B$24&amp;"TTT"),0)</f>
        <v>Do</v>
      </c>
      <c r="M19" s="93" t="str">
        <f>IF(M14=1,TEXT(M$18,H_Label!$B$24&amp;"TTT"),0)</f>
        <v>Fr</v>
      </c>
      <c r="N19" s="93" t="str">
        <f>IF(N14=1,TEXT(N$18,H_Label!$B$24&amp;"TTT"),0)</f>
        <v>Sa</v>
      </c>
      <c r="O19" s="93" t="str">
        <f>IF(O14=1,TEXT(O$18,H_Label!$B$24&amp;"TTT"),0)</f>
        <v>So</v>
      </c>
      <c r="P19" s="93" t="str">
        <f>IF(P14=1,TEXT(P$18,H_Label!$B$24&amp;"TTT"),0)</f>
        <v>Mo</v>
      </c>
      <c r="Q19" s="93" t="str">
        <f>IF(Q14=1,TEXT(Q$18,H_Label!$B$24&amp;"TTT"),0)</f>
        <v>Di</v>
      </c>
      <c r="R19" s="93" t="str">
        <f>IF(R14=1,TEXT(R$18,H_Label!$B$24&amp;"TTT"),0)</f>
        <v>Mi</v>
      </c>
      <c r="S19" s="93" t="str">
        <f>IF(S14=1,TEXT(S$18,H_Label!$B$24&amp;"TTT"),0)</f>
        <v>Do</v>
      </c>
      <c r="T19" s="93" t="str">
        <f>IF(T14=1,TEXT(T$18,H_Label!$B$24&amp;"TTT"),0)</f>
        <v>Fr</v>
      </c>
      <c r="U19" s="93" t="str">
        <f>IF(U14=1,TEXT(U$18,H_Label!$B$24&amp;"TTT"),0)</f>
        <v>Sa</v>
      </c>
      <c r="V19" s="93" t="str">
        <f>IF(V14=1,TEXT(V$18,H_Label!$B$24&amp;"TTT"),0)</f>
        <v>So</v>
      </c>
      <c r="W19" s="93" t="str">
        <f>IF(W14=1,TEXT(W$18,H_Label!$B$24&amp;"TTT"),0)</f>
        <v>Mo</v>
      </c>
      <c r="X19" s="93" t="str">
        <f>IF(X14=1,TEXT(X$18,H_Label!$B$24&amp;"TTT"),0)</f>
        <v>Di</v>
      </c>
      <c r="Y19" s="93" t="str">
        <f>IF(Y14=1,TEXT(Y$18,H_Label!$B$24&amp;"TTT"),0)</f>
        <v>Mi</v>
      </c>
      <c r="Z19" s="93" t="str">
        <f>IF(Z14=1,TEXT(Z$18,H_Label!$B$24&amp;"TTT"),0)</f>
        <v>Do</v>
      </c>
      <c r="AA19" s="93" t="str">
        <f>IF(AA14=1,TEXT(AA$18,H_Label!$B$24&amp;"TTT"),0)</f>
        <v>Fr</v>
      </c>
      <c r="AB19" s="93" t="str">
        <f>IF(AB14=1,TEXT(AB$18,H_Label!$B$24&amp;"TTT"),0)</f>
        <v>Sa</v>
      </c>
      <c r="AC19" s="93" t="str">
        <f>IF(AC14=1,TEXT(AC$18,H_Label!$B$24&amp;"TTT"),0)</f>
        <v>So</v>
      </c>
      <c r="AD19" s="93" t="str">
        <f>IF(AD14=1,TEXT(AD$18,H_Label!$B$24&amp;"TTT"),0)</f>
        <v>Mo</v>
      </c>
      <c r="AE19" s="93" t="str">
        <f>IF(AE14=1,TEXT(AE$18,H_Label!$B$24&amp;"TTT"),0)</f>
        <v>Di</v>
      </c>
      <c r="AF19" s="93" t="str">
        <f>IF(AF14=1,TEXT(AF$18,H_Label!$B$24&amp;"TTT"),0)</f>
        <v>Mi</v>
      </c>
      <c r="AG19" s="93" t="str">
        <f>IF(AG14=1,TEXT(AG$18,H_Label!$B$24&amp;"TTT"),0)</f>
        <v>Do</v>
      </c>
      <c r="AH19" s="93" t="str">
        <f>IF(AH14=1,TEXT(AH$18,H_Label!$B$24&amp;"TTT"),0)</f>
        <v>Fr</v>
      </c>
      <c r="AI19" s="93" t="str">
        <f>IF(AI14=1,TEXT(AI$18,H_Label!$B$24&amp;"TTT"),0)</f>
        <v>Sa</v>
      </c>
      <c r="AJ19" s="93" t="str">
        <f>IF(AJ14=1,TEXT(AJ$18,H_Label!$B$24&amp;"TTT"),0)</f>
        <v>So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0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0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0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0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Apr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Apr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I+iliVut4/s6QYATkk3PbxWJXooUSdaGAVgKY6gdONdc49DQV/5+IqB2lkDlCI9qU4PNJxdOgLunTGeyVo9OEw==" saltValue="5KcSws6hxLCwPKYtvniMh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6 F29:AJ29 F31:AJ32 F34:AJ48 F50:AJ51">
    <cfRule type="expression" dxfId="183" priority="17">
      <formula>F$21="ft"</formula>
    </cfRule>
  </conditionalFormatting>
  <conditionalFormatting sqref="F18:AJ21 F23:AJ27 F29:AJ32 F34:AJ48 F50:AJ51">
    <cfRule type="expression" dxfId="182" priority="8">
      <formula>AND(F$14=0,$B18=0)</formula>
    </cfRule>
  </conditionalFormatting>
  <conditionalFormatting sqref="F26:AJ27 F30:AJ30">
    <cfRule type="expression" dxfId="181" priority="10">
      <formula>OR(WEEKDAY(F$16,2)=7,F$15=2)</formula>
    </cfRule>
  </conditionalFormatting>
  <conditionalFormatting sqref="F34:AJ48 F50:AJ51 F18:AJ21 F23:AJ26 F29:AJ29 F31:AJ32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0:AJ51">
    <cfRule type="containsText" dxfId="178" priority="11" operator="containsText" text="x">
      <formula>NOT(ISERROR(SEARCH("x",F50)))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6" priority="2">
      <formula>H_fldFerienEndSaldo&lt;0</formula>
    </cfRule>
  </conditionalFormatting>
  <conditionalFormatting sqref="AG18:AJ21 AG23:AJ27 AG29:AJ32 AG34:AJ48 AG50:AJ51">
    <cfRule type="expression" dxfId="175" priority="6">
      <formula>AND(AG$14=0,$B18&lt;&gt;0)</formula>
    </cfRule>
    <cfRule type="expression" dxfId="174" priority="7">
      <formula>AG$15=2</formula>
    </cfRule>
  </conditionalFormatting>
  <conditionalFormatting sqref="AJ17:AJ21 AJ23:AJ27 AJ29:AJ32 AJ34:AJ48 AJ50:AJ51">
    <cfRule type="expression" dxfId="17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1D8DFD7C-69A1-413E-8E03-AE2D4EE131B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046E5C9-4773-4FE8-9FB9-65CC61518E8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B728B67-FF82-41BA-A944-0B5D963851F2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786B2A7-D5C9-4023-8D89-AF8C3E7D9CA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BAE14724-8B5A-4D42-B4FB-ACD64B80D5EE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6D8BF1BB-FDAB-4F0D-A604-6331DB5B8901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B4FD0FF4-B572-4553-AD96-20D92EF82E37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6E263608-E88D-466B-A67E-1CA4578EC358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21B8DA1-EE72-4F03-987E-87A05A32632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D4A51EBF-D20D-4707-8A5D-EB13666B99B7}">
      <formula1>-4000</formula1>
    </dataValidation>
  </dataValidations>
  <hyperlinks>
    <hyperlink ref="AJ12" location="Jahresauswertung!H3" display="." xr:uid="{948914C3-E1A1-4CFB-A417-B3679641A787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9FE407B-4870-4F3C-86FD-E74400CAEB6F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87900DC2-58AC-4AFF-9EF4-48F556E5BACA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8BAD-6A9D-48D8-BD4F-34BE5FA30744}">
  <sheetPr codeName="m04apr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April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45383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April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-176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4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45383</v>
      </c>
      <c r="G16" s="431">
        <f>F$16+1</f>
        <v>45384</v>
      </c>
      <c r="H16" s="431">
        <f t="shared" ref="H16:AJ16" si="2">G$16+1</f>
        <v>45385</v>
      </c>
      <c r="I16" s="431">
        <f t="shared" si="2"/>
        <v>45386</v>
      </c>
      <c r="J16" s="431">
        <f t="shared" si="2"/>
        <v>45387</v>
      </c>
      <c r="K16" s="431">
        <f t="shared" si="2"/>
        <v>45388</v>
      </c>
      <c r="L16" s="432">
        <f t="shared" si="2"/>
        <v>45389</v>
      </c>
      <c r="M16" s="432">
        <f t="shared" si="2"/>
        <v>45390</v>
      </c>
      <c r="N16" s="433">
        <f t="shared" si="2"/>
        <v>45391</v>
      </c>
      <c r="O16" s="434">
        <f t="shared" si="2"/>
        <v>45392</v>
      </c>
      <c r="P16" s="434">
        <f t="shared" si="2"/>
        <v>45393</v>
      </c>
      <c r="Q16" s="434">
        <f t="shared" si="2"/>
        <v>45394</v>
      </c>
      <c r="R16" s="434">
        <f t="shared" si="2"/>
        <v>45395</v>
      </c>
      <c r="S16" s="434">
        <f t="shared" si="2"/>
        <v>45396</v>
      </c>
      <c r="T16" s="434">
        <f t="shared" si="2"/>
        <v>45397</v>
      </c>
      <c r="U16" s="434">
        <f t="shared" si="2"/>
        <v>45398</v>
      </c>
      <c r="V16" s="434">
        <f t="shared" si="2"/>
        <v>45399</v>
      </c>
      <c r="W16" s="434">
        <f t="shared" si="2"/>
        <v>45400</v>
      </c>
      <c r="X16" s="434">
        <f t="shared" si="2"/>
        <v>45401</v>
      </c>
      <c r="Y16" s="434">
        <f t="shared" si="2"/>
        <v>45402</v>
      </c>
      <c r="Z16" s="434">
        <f t="shared" si="2"/>
        <v>45403</v>
      </c>
      <c r="AA16" s="434">
        <f t="shared" si="2"/>
        <v>45404</v>
      </c>
      <c r="AB16" s="434">
        <f t="shared" si="2"/>
        <v>45405</v>
      </c>
      <c r="AC16" s="434">
        <f t="shared" si="2"/>
        <v>45406</v>
      </c>
      <c r="AD16" s="434">
        <f t="shared" si="2"/>
        <v>45407</v>
      </c>
      <c r="AE16" s="434">
        <f t="shared" si="2"/>
        <v>45408</v>
      </c>
      <c r="AF16" s="435">
        <f t="shared" si="2"/>
        <v>45409</v>
      </c>
      <c r="AG16" s="435">
        <f t="shared" si="2"/>
        <v>45410</v>
      </c>
      <c r="AH16" s="435">
        <f t="shared" si="2"/>
        <v>45411</v>
      </c>
      <c r="AI16" s="435">
        <f t="shared" si="2"/>
        <v>45412</v>
      </c>
      <c r="AJ16" s="436">
        <f t="shared" si="2"/>
        <v>45413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14</v>
      </c>
      <c r="G17" s="207">
        <f t="shared" ref="G17:AJ17" si="3">WEEKNUM(G$16,21)</f>
        <v>14</v>
      </c>
      <c r="H17" s="207">
        <f t="shared" si="3"/>
        <v>14</v>
      </c>
      <c r="I17" s="207">
        <f t="shared" si="3"/>
        <v>14</v>
      </c>
      <c r="J17" s="207">
        <f t="shared" si="3"/>
        <v>14</v>
      </c>
      <c r="K17" s="207">
        <f t="shared" si="3"/>
        <v>14</v>
      </c>
      <c r="L17" s="207">
        <f t="shared" si="3"/>
        <v>14</v>
      </c>
      <c r="M17" s="207">
        <f t="shared" si="3"/>
        <v>15</v>
      </c>
      <c r="N17" s="207">
        <f t="shared" si="3"/>
        <v>15</v>
      </c>
      <c r="O17" s="207">
        <f t="shared" si="3"/>
        <v>15</v>
      </c>
      <c r="P17" s="207">
        <f t="shared" si="3"/>
        <v>15</v>
      </c>
      <c r="Q17" s="207">
        <f t="shared" si="3"/>
        <v>15</v>
      </c>
      <c r="R17" s="207">
        <f t="shared" si="3"/>
        <v>15</v>
      </c>
      <c r="S17" s="207">
        <f t="shared" si="3"/>
        <v>15</v>
      </c>
      <c r="T17" s="207">
        <f t="shared" si="3"/>
        <v>16</v>
      </c>
      <c r="U17" s="207">
        <f t="shared" si="3"/>
        <v>16</v>
      </c>
      <c r="V17" s="207">
        <f t="shared" si="3"/>
        <v>16</v>
      </c>
      <c r="W17" s="207">
        <f t="shared" si="3"/>
        <v>16</v>
      </c>
      <c r="X17" s="207">
        <f t="shared" si="3"/>
        <v>16</v>
      </c>
      <c r="Y17" s="207">
        <f t="shared" si="3"/>
        <v>16</v>
      </c>
      <c r="Z17" s="207">
        <f t="shared" si="3"/>
        <v>16</v>
      </c>
      <c r="AA17" s="207">
        <f t="shared" si="3"/>
        <v>17</v>
      </c>
      <c r="AB17" s="207">
        <f t="shared" si="3"/>
        <v>17</v>
      </c>
      <c r="AC17" s="207">
        <f t="shared" si="3"/>
        <v>17</v>
      </c>
      <c r="AD17" s="207">
        <f t="shared" si="3"/>
        <v>17</v>
      </c>
      <c r="AE17" s="207">
        <f t="shared" si="3"/>
        <v>17</v>
      </c>
      <c r="AF17" s="207">
        <f t="shared" si="3"/>
        <v>17</v>
      </c>
      <c r="AG17" s="207">
        <f t="shared" si="3"/>
        <v>17</v>
      </c>
      <c r="AH17" s="207">
        <f t="shared" si="3"/>
        <v>18</v>
      </c>
      <c r="AI17" s="207">
        <f t="shared" si="3"/>
        <v>18</v>
      </c>
      <c r="AJ17" s="208">
        <f t="shared" si="3"/>
        <v>18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45383</v>
      </c>
      <c r="G18" s="28">
        <f t="shared" ref="G18:AJ18" si="4">IF(G14,G16,0)</f>
        <v>45384</v>
      </c>
      <c r="H18" s="27">
        <f t="shared" si="4"/>
        <v>45385</v>
      </c>
      <c r="I18" s="27">
        <f t="shared" si="4"/>
        <v>45386</v>
      </c>
      <c r="J18" s="27">
        <f t="shared" si="4"/>
        <v>45387</v>
      </c>
      <c r="K18" s="27">
        <f t="shared" si="4"/>
        <v>45388</v>
      </c>
      <c r="L18" s="27">
        <f t="shared" si="4"/>
        <v>45389</v>
      </c>
      <c r="M18" s="27">
        <f t="shared" si="4"/>
        <v>45390</v>
      </c>
      <c r="N18" s="27">
        <f t="shared" si="4"/>
        <v>45391</v>
      </c>
      <c r="O18" s="27">
        <f t="shared" si="4"/>
        <v>45392</v>
      </c>
      <c r="P18" s="27">
        <f t="shared" si="4"/>
        <v>45393</v>
      </c>
      <c r="Q18" s="27">
        <f t="shared" si="4"/>
        <v>45394</v>
      </c>
      <c r="R18" s="27">
        <f t="shared" si="4"/>
        <v>45395</v>
      </c>
      <c r="S18" s="27">
        <f t="shared" si="4"/>
        <v>45396</v>
      </c>
      <c r="T18" s="27">
        <f t="shared" si="4"/>
        <v>45397</v>
      </c>
      <c r="U18" s="27">
        <f t="shared" si="4"/>
        <v>45398</v>
      </c>
      <c r="V18" s="27">
        <f t="shared" si="4"/>
        <v>45399</v>
      </c>
      <c r="W18" s="27">
        <f t="shared" si="4"/>
        <v>45400</v>
      </c>
      <c r="X18" s="27">
        <f t="shared" si="4"/>
        <v>45401</v>
      </c>
      <c r="Y18" s="27">
        <f t="shared" si="4"/>
        <v>45402</v>
      </c>
      <c r="Z18" s="27">
        <f t="shared" si="4"/>
        <v>45403</v>
      </c>
      <c r="AA18" s="27">
        <f t="shared" si="4"/>
        <v>45404</v>
      </c>
      <c r="AB18" s="27">
        <f t="shared" si="4"/>
        <v>45405</v>
      </c>
      <c r="AC18" s="27">
        <f t="shared" si="4"/>
        <v>45406</v>
      </c>
      <c r="AD18" s="27">
        <f t="shared" si="4"/>
        <v>45407</v>
      </c>
      <c r="AE18" s="27">
        <f t="shared" si="4"/>
        <v>45408</v>
      </c>
      <c r="AF18" s="27">
        <f t="shared" si="4"/>
        <v>45409</v>
      </c>
      <c r="AG18" s="27">
        <f t="shared" si="4"/>
        <v>45410</v>
      </c>
      <c r="AH18" s="27">
        <f t="shared" si="4"/>
        <v>45411</v>
      </c>
      <c r="AI18" s="202">
        <f t="shared" si="4"/>
        <v>45412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Mo</v>
      </c>
      <c r="G19" s="93" t="str">
        <f>IF(G14=1,TEXT(G$18,H_Label!$B$24&amp;"TTT"),0)</f>
        <v>Di</v>
      </c>
      <c r="H19" s="93" t="str">
        <f>IF(H14=1,TEXT(H$18,H_Label!$B$24&amp;"TTT"),0)</f>
        <v>Mi</v>
      </c>
      <c r="I19" s="93" t="str">
        <f>IF(I14=1,TEXT(I$18,H_Label!$B$24&amp;"TTT"),0)</f>
        <v>Do</v>
      </c>
      <c r="J19" s="93" t="str">
        <f>IF(J14=1,TEXT(J$18,H_Label!$B$24&amp;"TTT"),0)</f>
        <v>Fr</v>
      </c>
      <c r="K19" s="93" t="str">
        <f>IF(K14=1,TEXT(K$18,H_Label!$B$24&amp;"TTT"),0)</f>
        <v>Sa</v>
      </c>
      <c r="L19" s="93" t="str">
        <f>IF(L14=1,TEXT(L$18,H_Label!$B$24&amp;"TTT"),0)</f>
        <v>So</v>
      </c>
      <c r="M19" s="93" t="str">
        <f>IF(M14=1,TEXT(M$18,H_Label!$B$24&amp;"TTT"),0)</f>
        <v>Mo</v>
      </c>
      <c r="N19" s="93" t="str">
        <f>IF(N14=1,TEXT(N$18,H_Label!$B$24&amp;"TTT"),0)</f>
        <v>Di</v>
      </c>
      <c r="O19" s="93" t="str">
        <f>IF(O14=1,TEXT(O$18,H_Label!$B$24&amp;"TTT"),0)</f>
        <v>Mi</v>
      </c>
      <c r="P19" s="93" t="str">
        <f>IF(P14=1,TEXT(P$18,H_Label!$B$24&amp;"TTT"),0)</f>
        <v>Do</v>
      </c>
      <c r="Q19" s="93" t="str">
        <f>IF(Q14=1,TEXT(Q$18,H_Label!$B$24&amp;"TTT"),0)</f>
        <v>Fr</v>
      </c>
      <c r="R19" s="93" t="str">
        <f>IF(R14=1,TEXT(R$18,H_Label!$B$24&amp;"TTT"),0)</f>
        <v>Sa</v>
      </c>
      <c r="S19" s="93" t="str">
        <f>IF(S14=1,TEXT(S$18,H_Label!$B$24&amp;"TTT"),0)</f>
        <v>So</v>
      </c>
      <c r="T19" s="93" t="str">
        <f>IF(T14=1,TEXT(T$18,H_Label!$B$24&amp;"TTT"),0)</f>
        <v>Mo</v>
      </c>
      <c r="U19" s="93" t="str">
        <f>IF(U14=1,TEXT(U$18,H_Label!$B$24&amp;"TTT"),0)</f>
        <v>Di</v>
      </c>
      <c r="V19" s="93" t="str">
        <f>IF(V14=1,TEXT(V$18,H_Label!$B$24&amp;"TTT"),0)</f>
        <v>Mi</v>
      </c>
      <c r="W19" s="93" t="str">
        <f>IF(W14=1,TEXT(W$18,H_Label!$B$24&amp;"TTT"),0)</f>
        <v>Do</v>
      </c>
      <c r="X19" s="93" t="str">
        <f>IF(X14=1,TEXT(X$18,H_Label!$B$24&amp;"TTT"),0)</f>
        <v>Fr</v>
      </c>
      <c r="Y19" s="93" t="str">
        <f>IF(Y14=1,TEXT(Y$18,H_Label!$B$24&amp;"TTT"),0)</f>
        <v>Sa</v>
      </c>
      <c r="Z19" s="93" t="str">
        <f>IF(Z14=1,TEXT(Z$18,H_Label!$B$24&amp;"TTT"),0)</f>
        <v>So</v>
      </c>
      <c r="AA19" s="93" t="str">
        <f>IF(AA14=1,TEXT(AA$18,H_Label!$B$24&amp;"TTT"),0)</f>
        <v>Mo</v>
      </c>
      <c r="AB19" s="93" t="str">
        <f>IF(AB14=1,TEXT(AB$18,H_Label!$B$24&amp;"TTT"),0)</f>
        <v>Di</v>
      </c>
      <c r="AC19" s="93" t="str">
        <f>IF(AC14=1,TEXT(AC$18,H_Label!$B$24&amp;"TTT"),0)</f>
        <v>Mi</v>
      </c>
      <c r="AD19" s="93" t="str">
        <f>IF(AD14=1,TEXT(AD$18,H_Label!$B$24&amp;"TTT"),0)</f>
        <v>Do</v>
      </c>
      <c r="AE19" s="93" t="str">
        <f>IF(AE14=1,TEXT(AE$18,H_Label!$B$24&amp;"TTT"),0)</f>
        <v>Fr</v>
      </c>
      <c r="AF19" s="93" t="str">
        <f>IF(AF14=1,TEXT(AF$18,H_Label!$B$24&amp;"TTT"),0)</f>
        <v>Sa</v>
      </c>
      <c r="AG19" s="93" t="str">
        <f>IF(AG14=1,TEXT(AG$18,H_Label!$B$24&amp;"TTT"),0)</f>
        <v>So</v>
      </c>
      <c r="AH19" s="93" t="str">
        <f>IF(AH14=1,TEXT(AH$18,H_Label!$B$24&amp;"TTT"),0)</f>
        <v>Mo</v>
      </c>
      <c r="AI19" s="93" t="str">
        <f>IF(AI14=1,TEXT(AI$18,H_Label!$B$24&amp;"TTT"),0)</f>
        <v>Di</v>
      </c>
      <c r="AJ19" s="93">
        <f>IF(AJ14=1,TEXT(AJ$18,H_Label!$B$24&amp;"TTT"),0)</f>
        <v>0</v>
      </c>
      <c r="AK19" s="409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Mai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22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ewtN1H6cLNk0Qk8Jg34kla/02aAaUtI4Lx5YLrNY3oAtlPgiG7biO+Ek+SyN/5A52JEKTkG6ioZqqLT47dBEJw==" saltValue="Xyki5/yfK7h6iJf33boS8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6 F29:AJ29 F31:AJ32 F34:AJ48 F50:AJ51">
    <cfRule type="expression" dxfId="165" priority="17">
      <formula>F$21="ft"</formula>
    </cfRule>
  </conditionalFormatting>
  <conditionalFormatting sqref="F18:AJ21 F23:AJ27 F29:AJ32 F34:AJ48 F50:AJ51">
    <cfRule type="expression" dxfId="164" priority="8">
      <formula>AND(F$14=0,$B18=0)</formula>
    </cfRule>
  </conditionalFormatting>
  <conditionalFormatting sqref="F26:AJ27 F30:AJ30">
    <cfRule type="expression" dxfId="163" priority="10">
      <formula>OR(WEEKDAY(F$16,2)=7,F$15=2)</formula>
    </cfRule>
  </conditionalFormatting>
  <conditionalFormatting sqref="F34:AJ48 F50:AJ51 F18:AJ21 F23:AJ26 F29:AJ29 F31:AJ32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0:AJ51">
    <cfRule type="containsText" dxfId="160" priority="11" operator="containsText" text="x">
      <formula>NOT(ISERROR(SEARCH("x",F50)))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8" priority="2">
      <formula>H_fldFerienEndSaldo&lt;0</formula>
    </cfRule>
  </conditionalFormatting>
  <conditionalFormatting sqref="AG18:AJ21 AG23:AJ27 AG29:AJ32 AG34:AJ48 AG50:AJ51">
    <cfRule type="expression" dxfId="157" priority="6">
      <formula>AND(AG$14=0,$B18&lt;&gt;0)</formula>
    </cfRule>
    <cfRule type="expression" dxfId="156" priority="7">
      <formula>AG$15=2</formula>
    </cfRule>
  </conditionalFormatting>
  <conditionalFormatting sqref="AJ17:AJ21 AJ23:AJ27 AJ29:AJ32 AJ34:AJ48 AJ50:AJ51">
    <cfRule type="expression" dxfId="15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49696133-CB54-4B06-86D1-82FE1310AD61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7C6AE1A3-0939-4E59-BD33-198669BBD690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AC9AC663-968D-4444-98B0-91B6A3BABF5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1F27922-129D-4C9D-8722-926DC23B2A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4F262A56-7025-4590-9BDF-E3F2526B6DCC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B7036690-866F-484D-984B-D59443D24BA2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6D32F92-2394-4393-A399-C29614B3167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56C19695-D100-48E2-ABC2-CE7487D465E7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3219AD67-3131-4549-A72B-737F1C313D2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BC0B210D-8E52-4088-8EC5-0E245265AC79}">
      <formula1>-4000</formula1>
    </dataValidation>
  </dataValidations>
  <hyperlinks>
    <hyperlink ref="AJ12" location="Jahresauswertung!H3" display="." xr:uid="{6F26CD41-8696-4357-A2AD-DC2D9BA115C7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47E420-427A-4367-A42C-DC260D6E37B5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CAF4B664-8963-4647-845D-0D2200D6B4E2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27FC-58AA-4EEA-9548-5E86C824DD69}">
  <sheetPr codeName="m05mai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Mai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45413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Mai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-184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5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45413</v>
      </c>
      <c r="G16" s="431">
        <f>F$16+1</f>
        <v>45414</v>
      </c>
      <c r="H16" s="431">
        <f t="shared" ref="H16:AJ16" si="2">G$16+1</f>
        <v>45415</v>
      </c>
      <c r="I16" s="431">
        <f t="shared" si="2"/>
        <v>45416</v>
      </c>
      <c r="J16" s="431">
        <f t="shared" si="2"/>
        <v>45417</v>
      </c>
      <c r="K16" s="431">
        <f t="shared" si="2"/>
        <v>45418</v>
      </c>
      <c r="L16" s="432">
        <f t="shared" si="2"/>
        <v>45419</v>
      </c>
      <c r="M16" s="432">
        <f t="shared" si="2"/>
        <v>45420</v>
      </c>
      <c r="N16" s="433">
        <f t="shared" si="2"/>
        <v>45421</v>
      </c>
      <c r="O16" s="434">
        <f t="shared" si="2"/>
        <v>45422</v>
      </c>
      <c r="P16" s="434">
        <f t="shared" si="2"/>
        <v>45423</v>
      </c>
      <c r="Q16" s="434">
        <f t="shared" si="2"/>
        <v>45424</v>
      </c>
      <c r="R16" s="434">
        <f t="shared" si="2"/>
        <v>45425</v>
      </c>
      <c r="S16" s="434">
        <f t="shared" si="2"/>
        <v>45426</v>
      </c>
      <c r="T16" s="434">
        <f t="shared" si="2"/>
        <v>45427</v>
      </c>
      <c r="U16" s="434">
        <f t="shared" si="2"/>
        <v>45428</v>
      </c>
      <c r="V16" s="434">
        <f t="shared" si="2"/>
        <v>45429</v>
      </c>
      <c r="W16" s="434">
        <f t="shared" si="2"/>
        <v>45430</v>
      </c>
      <c r="X16" s="434">
        <f t="shared" si="2"/>
        <v>45431</v>
      </c>
      <c r="Y16" s="434">
        <f t="shared" si="2"/>
        <v>45432</v>
      </c>
      <c r="Z16" s="434">
        <f t="shared" si="2"/>
        <v>45433</v>
      </c>
      <c r="AA16" s="434">
        <f t="shared" si="2"/>
        <v>45434</v>
      </c>
      <c r="AB16" s="434">
        <f t="shared" si="2"/>
        <v>45435</v>
      </c>
      <c r="AC16" s="434">
        <f t="shared" si="2"/>
        <v>45436</v>
      </c>
      <c r="AD16" s="434">
        <f t="shared" si="2"/>
        <v>45437</v>
      </c>
      <c r="AE16" s="434">
        <f t="shared" si="2"/>
        <v>45438</v>
      </c>
      <c r="AF16" s="435">
        <f t="shared" si="2"/>
        <v>45439</v>
      </c>
      <c r="AG16" s="435">
        <f t="shared" si="2"/>
        <v>45440</v>
      </c>
      <c r="AH16" s="435">
        <f t="shared" si="2"/>
        <v>45441</v>
      </c>
      <c r="AI16" s="435">
        <f t="shared" si="2"/>
        <v>45442</v>
      </c>
      <c r="AJ16" s="436">
        <f t="shared" si="2"/>
        <v>45443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18</v>
      </c>
      <c r="G17" s="207">
        <f t="shared" ref="G17:AJ17" si="3">WEEKNUM(G$16,21)</f>
        <v>18</v>
      </c>
      <c r="H17" s="207">
        <f t="shared" si="3"/>
        <v>18</v>
      </c>
      <c r="I17" s="207">
        <f t="shared" si="3"/>
        <v>18</v>
      </c>
      <c r="J17" s="207">
        <f t="shared" si="3"/>
        <v>18</v>
      </c>
      <c r="K17" s="207">
        <f t="shared" si="3"/>
        <v>19</v>
      </c>
      <c r="L17" s="207">
        <f t="shared" si="3"/>
        <v>19</v>
      </c>
      <c r="M17" s="207">
        <f t="shared" si="3"/>
        <v>19</v>
      </c>
      <c r="N17" s="207">
        <f t="shared" si="3"/>
        <v>19</v>
      </c>
      <c r="O17" s="207">
        <f t="shared" si="3"/>
        <v>19</v>
      </c>
      <c r="P17" s="207">
        <f t="shared" si="3"/>
        <v>19</v>
      </c>
      <c r="Q17" s="207">
        <f t="shared" si="3"/>
        <v>19</v>
      </c>
      <c r="R17" s="207">
        <f t="shared" si="3"/>
        <v>20</v>
      </c>
      <c r="S17" s="207">
        <f t="shared" si="3"/>
        <v>20</v>
      </c>
      <c r="T17" s="207">
        <f t="shared" si="3"/>
        <v>20</v>
      </c>
      <c r="U17" s="207">
        <f t="shared" si="3"/>
        <v>20</v>
      </c>
      <c r="V17" s="207">
        <f t="shared" si="3"/>
        <v>20</v>
      </c>
      <c r="W17" s="207">
        <f t="shared" si="3"/>
        <v>20</v>
      </c>
      <c r="X17" s="207">
        <f t="shared" si="3"/>
        <v>20</v>
      </c>
      <c r="Y17" s="207">
        <f t="shared" si="3"/>
        <v>21</v>
      </c>
      <c r="Z17" s="207">
        <f t="shared" si="3"/>
        <v>21</v>
      </c>
      <c r="AA17" s="207">
        <f t="shared" si="3"/>
        <v>21</v>
      </c>
      <c r="AB17" s="207">
        <f t="shared" si="3"/>
        <v>21</v>
      </c>
      <c r="AC17" s="207">
        <f t="shared" si="3"/>
        <v>21</v>
      </c>
      <c r="AD17" s="207">
        <f t="shared" si="3"/>
        <v>21</v>
      </c>
      <c r="AE17" s="207">
        <f t="shared" si="3"/>
        <v>21</v>
      </c>
      <c r="AF17" s="207">
        <f t="shared" si="3"/>
        <v>22</v>
      </c>
      <c r="AG17" s="207">
        <f t="shared" si="3"/>
        <v>22</v>
      </c>
      <c r="AH17" s="207">
        <f t="shared" si="3"/>
        <v>22</v>
      </c>
      <c r="AI17" s="207">
        <f t="shared" si="3"/>
        <v>22</v>
      </c>
      <c r="AJ17" s="208">
        <f t="shared" si="3"/>
        <v>22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45413</v>
      </c>
      <c r="G18" s="28">
        <f t="shared" ref="G18:AJ18" si="4">IF(G14,G16,0)</f>
        <v>45414</v>
      </c>
      <c r="H18" s="27">
        <f t="shared" si="4"/>
        <v>45415</v>
      </c>
      <c r="I18" s="27">
        <f t="shared" si="4"/>
        <v>45416</v>
      </c>
      <c r="J18" s="27">
        <f t="shared" si="4"/>
        <v>45417</v>
      </c>
      <c r="K18" s="27">
        <f t="shared" si="4"/>
        <v>45418</v>
      </c>
      <c r="L18" s="27">
        <f t="shared" si="4"/>
        <v>45419</v>
      </c>
      <c r="M18" s="27">
        <f t="shared" si="4"/>
        <v>45420</v>
      </c>
      <c r="N18" s="27">
        <f t="shared" si="4"/>
        <v>45421</v>
      </c>
      <c r="O18" s="27">
        <f t="shared" si="4"/>
        <v>45422</v>
      </c>
      <c r="P18" s="27">
        <f t="shared" si="4"/>
        <v>45423</v>
      </c>
      <c r="Q18" s="27">
        <f t="shared" si="4"/>
        <v>45424</v>
      </c>
      <c r="R18" s="27">
        <f t="shared" si="4"/>
        <v>45425</v>
      </c>
      <c r="S18" s="27">
        <f t="shared" si="4"/>
        <v>45426</v>
      </c>
      <c r="T18" s="27">
        <f t="shared" si="4"/>
        <v>45427</v>
      </c>
      <c r="U18" s="27">
        <f t="shared" si="4"/>
        <v>45428</v>
      </c>
      <c r="V18" s="27">
        <f t="shared" si="4"/>
        <v>45429</v>
      </c>
      <c r="W18" s="27">
        <f t="shared" si="4"/>
        <v>45430</v>
      </c>
      <c r="X18" s="27">
        <f t="shared" si="4"/>
        <v>45431</v>
      </c>
      <c r="Y18" s="27">
        <f t="shared" si="4"/>
        <v>45432</v>
      </c>
      <c r="Z18" s="27">
        <f t="shared" si="4"/>
        <v>45433</v>
      </c>
      <c r="AA18" s="27">
        <f t="shared" si="4"/>
        <v>45434</v>
      </c>
      <c r="AB18" s="27">
        <f t="shared" si="4"/>
        <v>45435</v>
      </c>
      <c r="AC18" s="27">
        <f t="shared" si="4"/>
        <v>45436</v>
      </c>
      <c r="AD18" s="27">
        <f t="shared" si="4"/>
        <v>45437</v>
      </c>
      <c r="AE18" s="27">
        <f t="shared" si="4"/>
        <v>45438</v>
      </c>
      <c r="AF18" s="27">
        <f t="shared" si="4"/>
        <v>45439</v>
      </c>
      <c r="AG18" s="27">
        <f t="shared" si="4"/>
        <v>45440</v>
      </c>
      <c r="AH18" s="27">
        <f t="shared" si="4"/>
        <v>45441</v>
      </c>
      <c r="AI18" s="202">
        <f t="shared" si="4"/>
        <v>45442</v>
      </c>
      <c r="AJ18" s="202">
        <f t="shared" si="4"/>
        <v>45443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Mi</v>
      </c>
      <c r="G19" s="93" t="str">
        <f>IF(G14=1,TEXT(G$18,H_Label!$B$24&amp;"TTT"),0)</f>
        <v>Do</v>
      </c>
      <c r="H19" s="93" t="str">
        <f>IF(H14=1,TEXT(H$18,H_Label!$B$24&amp;"TTT"),0)</f>
        <v>Fr</v>
      </c>
      <c r="I19" s="93" t="str">
        <f>IF(I14=1,TEXT(I$18,H_Label!$B$24&amp;"TTT"),0)</f>
        <v>Sa</v>
      </c>
      <c r="J19" s="93" t="str">
        <f>IF(J14=1,TEXT(J$18,H_Label!$B$24&amp;"TTT"),0)</f>
        <v>So</v>
      </c>
      <c r="K19" s="93" t="str">
        <f>IF(K14=1,TEXT(K$18,H_Label!$B$24&amp;"TTT"),0)</f>
        <v>Mo</v>
      </c>
      <c r="L19" s="93" t="str">
        <f>IF(L14=1,TEXT(L$18,H_Label!$B$24&amp;"TTT"),0)</f>
        <v>Di</v>
      </c>
      <c r="M19" s="93" t="str">
        <f>IF(M14=1,TEXT(M$18,H_Label!$B$24&amp;"TTT"),0)</f>
        <v>Mi</v>
      </c>
      <c r="N19" s="93" t="str">
        <f>IF(N14=1,TEXT(N$18,H_Label!$B$24&amp;"TTT"),0)</f>
        <v>Do</v>
      </c>
      <c r="O19" s="93" t="str">
        <f>IF(O14=1,TEXT(O$18,H_Label!$B$24&amp;"TTT"),0)</f>
        <v>Fr</v>
      </c>
      <c r="P19" s="93" t="str">
        <f>IF(P14=1,TEXT(P$18,H_Label!$B$24&amp;"TTT"),0)</f>
        <v>Sa</v>
      </c>
      <c r="Q19" s="93" t="str">
        <f>IF(Q14=1,TEXT(Q$18,H_Label!$B$24&amp;"TTT"),0)</f>
        <v>So</v>
      </c>
      <c r="R19" s="93" t="str">
        <f>IF(R14=1,TEXT(R$18,H_Label!$B$24&amp;"TTT"),0)</f>
        <v>Mo</v>
      </c>
      <c r="S19" s="93" t="str">
        <f>IF(S14=1,TEXT(S$18,H_Label!$B$24&amp;"TTT"),0)</f>
        <v>Di</v>
      </c>
      <c r="T19" s="93" t="str">
        <f>IF(T14=1,TEXT(T$18,H_Label!$B$24&amp;"TTT"),0)</f>
        <v>Mi</v>
      </c>
      <c r="U19" s="93" t="str">
        <f>IF(U14=1,TEXT(U$18,H_Label!$B$24&amp;"TTT"),0)</f>
        <v>Do</v>
      </c>
      <c r="V19" s="93" t="str">
        <f>IF(V14=1,TEXT(V$18,H_Label!$B$24&amp;"TTT"),0)</f>
        <v>Fr</v>
      </c>
      <c r="W19" s="93" t="str">
        <f>IF(W14=1,TEXT(W$18,H_Label!$B$24&amp;"TTT"),0)</f>
        <v>Sa</v>
      </c>
      <c r="X19" s="93" t="str">
        <f>IF(X14=1,TEXT(X$18,H_Label!$B$24&amp;"TTT"),0)</f>
        <v>So</v>
      </c>
      <c r="Y19" s="93" t="str">
        <f>IF(Y14=1,TEXT(Y$18,H_Label!$B$24&amp;"TTT"),0)</f>
        <v>Mo</v>
      </c>
      <c r="Z19" s="93" t="str">
        <f>IF(Z14=1,TEXT(Z$18,H_Label!$B$24&amp;"TTT"),0)</f>
        <v>Di</v>
      </c>
      <c r="AA19" s="93" t="str">
        <f>IF(AA14=1,TEXT(AA$18,H_Label!$B$24&amp;"TTT"),0)</f>
        <v>Mi</v>
      </c>
      <c r="AB19" s="93" t="str">
        <f>IF(AB14=1,TEXT(AB$18,H_Label!$B$24&amp;"TTT"),0)</f>
        <v>Do</v>
      </c>
      <c r="AC19" s="93" t="str">
        <f>IF(AC14=1,TEXT(AC$18,H_Label!$B$24&amp;"TTT"),0)</f>
        <v>Fr</v>
      </c>
      <c r="AD19" s="93" t="str">
        <f>IF(AD14=1,TEXT(AD$18,H_Label!$B$24&amp;"TTT"),0)</f>
        <v>Sa</v>
      </c>
      <c r="AE19" s="93" t="str">
        <f>IF(AE14=1,TEXT(AE$18,H_Label!$B$24&amp;"TTT"),0)</f>
        <v>So</v>
      </c>
      <c r="AF19" s="93" t="str">
        <f>IF(AF14=1,TEXT(AF$18,H_Label!$B$24&amp;"TTT"),0)</f>
        <v>Mo</v>
      </c>
      <c r="AG19" s="93" t="str">
        <f>IF(AG14=1,TEXT(AG$18,H_Label!$B$24&amp;"TTT"),0)</f>
        <v>Di</v>
      </c>
      <c r="AH19" s="93" t="str">
        <f>IF(AH14=1,TEXT(AH$18,H_Label!$B$24&amp;"TTT"),0)</f>
        <v>Mi</v>
      </c>
      <c r="AI19" s="93" t="str">
        <f>IF(AI14=1,TEXT(AI$18,H_Label!$B$24&amp;"TTT"),0)</f>
        <v>Do</v>
      </c>
      <c r="AJ19" s="93" t="str">
        <f>IF(AJ14=1,TEXT(AJ$18,H_Label!$B$24&amp;"TTT"),0)</f>
        <v>Fr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0</v>
      </c>
      <c r="J20" s="26" cm="1">
        <f t="array" ref="J20">IF(OR(J14=0,J51="x"),0,A_fldSollTagStd*SUMPRODUCT((H_tblBGTage=WEEKDAY(J16,2))*(H_tblBGMnt=M_Monat)*H_tblBG%))</f>
        <v>0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0</v>
      </c>
      <c r="Q20" s="26" cm="1">
        <f t="array" ref="Q20">IF(OR(Q14=0,Q51="x"),0,A_fldSollTagStd*SUMPRODUCT((H_tblBGTage=WEEKDAY(Q16,2))*(H_tblBGMnt=M_Monat)*H_tblBG%))</f>
        <v>0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0</v>
      </c>
      <c r="X20" s="26" cm="1">
        <f t="array" ref="X20">IF(OR(X14=0,X51="x"),0,A_fldSollTagStd*SUMPRODUCT((H_tblBGTage=WEEKDAY(X16,2))*(H_tblBGMnt=M_Monat)*H_tblBG%))</f>
        <v>0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0</v>
      </c>
      <c r="AE20" s="26" cm="1">
        <f t="array" ref="AE20">IF(OR(AE14=0,AE51="x"),0,A_fldSollTagStd*SUMPRODUCT((H_tblBGTage=WEEKDAY(AE16,2))*(H_tblBGMnt=M_Monat)*H_tblBG%))</f>
        <v>0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Jun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Jun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BWl7TeQ3/ydRYieuLAmeApPfzDEXO46t6u2JoZNR7M5dgsxz7FCNsDOted5HRdRHSi70KWAXxrpIXRoQk1Ge/w==" saltValue="EdM72GN3Z0M8pOdtwqN8s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6 F29:AJ29 F31:AJ32 F34:AJ48 F50:AJ51">
    <cfRule type="expression" dxfId="147" priority="17">
      <formula>F$21="ft"</formula>
    </cfRule>
  </conditionalFormatting>
  <conditionalFormatting sqref="F18:AJ21 F23:AJ27 F29:AJ32 F34:AJ48 F50:AJ51">
    <cfRule type="expression" dxfId="146" priority="8">
      <formula>AND(F$14=0,$B18=0)</formula>
    </cfRule>
  </conditionalFormatting>
  <conditionalFormatting sqref="F26:AJ27 F30:AJ30">
    <cfRule type="expression" dxfId="145" priority="10">
      <formula>OR(WEEKDAY(F$16,2)=7,F$15=2)</formula>
    </cfRule>
  </conditionalFormatting>
  <conditionalFormatting sqref="F34:AJ48 F50:AJ51 F18:AJ21 F23:AJ26 F29:AJ29 F31:AJ32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0:AJ51">
    <cfRule type="containsText" dxfId="142" priority="11" operator="containsText" text="x">
      <formula>NOT(ISERROR(SEARCH("x",F50)))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40" priority="2">
      <formula>H_fldFerienEndSaldo&lt;0</formula>
    </cfRule>
  </conditionalFormatting>
  <conditionalFormatting sqref="AG18:AJ21 AG23:AJ27 AG29:AJ32 AG34:AJ48 AG50:AJ51">
    <cfRule type="expression" dxfId="139" priority="6">
      <formula>AND(AG$14=0,$B18&lt;&gt;0)</formula>
    </cfRule>
    <cfRule type="expression" dxfId="138" priority="7">
      <formula>AG$15=2</formula>
    </cfRule>
  </conditionalFormatting>
  <conditionalFormatting sqref="AJ17:AJ21 AJ23:AJ27 AJ29:AJ32 AJ34:AJ48 AJ50:AJ51">
    <cfRule type="expression" dxfId="13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347587A0-CC73-46A4-B765-FA61A1EF2EA6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3B87F56B-3910-4773-A5E4-198C7A9F43DB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499EE19-2AAF-47D4-B463-59C2CD7BDB2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F98793A-33D4-49AF-BA07-8FE98DF6FD1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3F64A11D-62EF-46E2-A244-474729B163E0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AD58D853-1D4A-431F-8606-4DDBEDE592F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C1DA2E9-FD86-4205-8599-89320ECD7C4D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E4E447F5-81DA-4667-8CE9-3C839CC4F3E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5D2D7E88-91FB-4892-B65B-01A52A28F94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B9BADB31-1140-4BB3-9E5B-BD26018AD4ED}">
      <formula1>-4000</formula1>
    </dataValidation>
  </dataValidations>
  <hyperlinks>
    <hyperlink ref="AJ12" location="Jahresauswertung!H3" display="." xr:uid="{D65BC8C4-B948-4C69-8B61-287B02105C5D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DB1F46-6430-4536-919A-9D7CF64BDB9B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9EC9872A-0CEE-47B6-A3F2-6E6FBB20B9B2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7B15-C53D-4D36-8439-6994E58B1D76}">
  <sheetPr codeName="m06jun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Juni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45444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Juni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-160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6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45444</v>
      </c>
      <c r="G16" s="431">
        <f>F$16+1</f>
        <v>45445</v>
      </c>
      <c r="H16" s="431">
        <f t="shared" ref="H16:AJ16" si="2">G$16+1</f>
        <v>45446</v>
      </c>
      <c r="I16" s="431">
        <f t="shared" si="2"/>
        <v>45447</v>
      </c>
      <c r="J16" s="431">
        <f t="shared" si="2"/>
        <v>45448</v>
      </c>
      <c r="K16" s="431">
        <f t="shared" si="2"/>
        <v>45449</v>
      </c>
      <c r="L16" s="432">
        <f t="shared" si="2"/>
        <v>45450</v>
      </c>
      <c r="M16" s="432">
        <f t="shared" si="2"/>
        <v>45451</v>
      </c>
      <c r="N16" s="433">
        <f t="shared" si="2"/>
        <v>45452</v>
      </c>
      <c r="O16" s="434">
        <f t="shared" si="2"/>
        <v>45453</v>
      </c>
      <c r="P16" s="434">
        <f t="shared" si="2"/>
        <v>45454</v>
      </c>
      <c r="Q16" s="434">
        <f t="shared" si="2"/>
        <v>45455</v>
      </c>
      <c r="R16" s="434">
        <f t="shared" si="2"/>
        <v>45456</v>
      </c>
      <c r="S16" s="434">
        <f t="shared" si="2"/>
        <v>45457</v>
      </c>
      <c r="T16" s="434">
        <f t="shared" si="2"/>
        <v>45458</v>
      </c>
      <c r="U16" s="434">
        <f t="shared" si="2"/>
        <v>45459</v>
      </c>
      <c r="V16" s="434">
        <f t="shared" si="2"/>
        <v>45460</v>
      </c>
      <c r="W16" s="434">
        <f t="shared" si="2"/>
        <v>45461</v>
      </c>
      <c r="X16" s="434">
        <f t="shared" si="2"/>
        <v>45462</v>
      </c>
      <c r="Y16" s="434">
        <f t="shared" si="2"/>
        <v>45463</v>
      </c>
      <c r="Z16" s="434">
        <f t="shared" si="2"/>
        <v>45464</v>
      </c>
      <c r="AA16" s="434">
        <f t="shared" si="2"/>
        <v>45465</v>
      </c>
      <c r="AB16" s="434">
        <f t="shared" si="2"/>
        <v>45466</v>
      </c>
      <c r="AC16" s="434">
        <f t="shared" si="2"/>
        <v>45467</v>
      </c>
      <c r="AD16" s="434">
        <f t="shared" si="2"/>
        <v>45468</v>
      </c>
      <c r="AE16" s="434">
        <f t="shared" si="2"/>
        <v>45469</v>
      </c>
      <c r="AF16" s="435">
        <f t="shared" si="2"/>
        <v>45470</v>
      </c>
      <c r="AG16" s="435">
        <f t="shared" si="2"/>
        <v>45471</v>
      </c>
      <c r="AH16" s="435">
        <f t="shared" si="2"/>
        <v>45472</v>
      </c>
      <c r="AI16" s="435">
        <f t="shared" si="2"/>
        <v>45473</v>
      </c>
      <c r="AJ16" s="436">
        <f t="shared" si="2"/>
        <v>45474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22</v>
      </c>
      <c r="G17" s="207">
        <f t="shared" ref="G17:AJ17" si="3">WEEKNUM(G$16,21)</f>
        <v>22</v>
      </c>
      <c r="H17" s="207">
        <f t="shared" si="3"/>
        <v>23</v>
      </c>
      <c r="I17" s="207">
        <f t="shared" si="3"/>
        <v>23</v>
      </c>
      <c r="J17" s="207">
        <f t="shared" si="3"/>
        <v>23</v>
      </c>
      <c r="K17" s="207">
        <f t="shared" si="3"/>
        <v>23</v>
      </c>
      <c r="L17" s="207">
        <f t="shared" si="3"/>
        <v>23</v>
      </c>
      <c r="M17" s="207">
        <f t="shared" si="3"/>
        <v>23</v>
      </c>
      <c r="N17" s="207">
        <f t="shared" si="3"/>
        <v>23</v>
      </c>
      <c r="O17" s="207">
        <f t="shared" si="3"/>
        <v>24</v>
      </c>
      <c r="P17" s="207">
        <f t="shared" si="3"/>
        <v>24</v>
      </c>
      <c r="Q17" s="207">
        <f t="shared" si="3"/>
        <v>24</v>
      </c>
      <c r="R17" s="207">
        <f t="shared" si="3"/>
        <v>24</v>
      </c>
      <c r="S17" s="207">
        <f t="shared" si="3"/>
        <v>24</v>
      </c>
      <c r="T17" s="207">
        <f t="shared" si="3"/>
        <v>24</v>
      </c>
      <c r="U17" s="207">
        <f t="shared" si="3"/>
        <v>24</v>
      </c>
      <c r="V17" s="207">
        <f t="shared" si="3"/>
        <v>25</v>
      </c>
      <c r="W17" s="207">
        <f t="shared" si="3"/>
        <v>25</v>
      </c>
      <c r="X17" s="207">
        <f t="shared" si="3"/>
        <v>25</v>
      </c>
      <c r="Y17" s="207">
        <f t="shared" si="3"/>
        <v>25</v>
      </c>
      <c r="Z17" s="207">
        <f t="shared" si="3"/>
        <v>25</v>
      </c>
      <c r="AA17" s="207">
        <f t="shared" si="3"/>
        <v>25</v>
      </c>
      <c r="AB17" s="207">
        <f t="shared" si="3"/>
        <v>25</v>
      </c>
      <c r="AC17" s="207">
        <f t="shared" si="3"/>
        <v>26</v>
      </c>
      <c r="AD17" s="207">
        <f t="shared" si="3"/>
        <v>26</v>
      </c>
      <c r="AE17" s="207">
        <f t="shared" si="3"/>
        <v>26</v>
      </c>
      <c r="AF17" s="207">
        <f t="shared" si="3"/>
        <v>26</v>
      </c>
      <c r="AG17" s="207">
        <f t="shared" si="3"/>
        <v>26</v>
      </c>
      <c r="AH17" s="207">
        <f t="shared" si="3"/>
        <v>26</v>
      </c>
      <c r="AI17" s="207">
        <f t="shared" si="3"/>
        <v>26</v>
      </c>
      <c r="AJ17" s="208">
        <f t="shared" si="3"/>
        <v>27</v>
      </c>
      <c r="AK17" s="407"/>
      <c r="AL17" s="115" cm="1">
        <f t="array" ref="AL17">SUM(IF(FREQUENCY(F17:AJ17,F17:AJ17)&gt;0,1))</f>
        <v>6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45444</v>
      </c>
      <c r="G18" s="28">
        <f t="shared" ref="G18:AJ18" si="4">IF(G14,G16,0)</f>
        <v>45445</v>
      </c>
      <c r="H18" s="27">
        <f t="shared" si="4"/>
        <v>45446</v>
      </c>
      <c r="I18" s="27">
        <f t="shared" si="4"/>
        <v>45447</v>
      </c>
      <c r="J18" s="27">
        <f t="shared" si="4"/>
        <v>45448</v>
      </c>
      <c r="K18" s="27">
        <f t="shared" si="4"/>
        <v>45449</v>
      </c>
      <c r="L18" s="27">
        <f t="shared" si="4"/>
        <v>45450</v>
      </c>
      <c r="M18" s="27">
        <f t="shared" si="4"/>
        <v>45451</v>
      </c>
      <c r="N18" s="27">
        <f t="shared" si="4"/>
        <v>45452</v>
      </c>
      <c r="O18" s="27">
        <f t="shared" si="4"/>
        <v>45453</v>
      </c>
      <c r="P18" s="27">
        <f t="shared" si="4"/>
        <v>45454</v>
      </c>
      <c r="Q18" s="27">
        <f t="shared" si="4"/>
        <v>45455</v>
      </c>
      <c r="R18" s="27">
        <f t="shared" si="4"/>
        <v>45456</v>
      </c>
      <c r="S18" s="27">
        <f t="shared" si="4"/>
        <v>45457</v>
      </c>
      <c r="T18" s="27">
        <f t="shared" si="4"/>
        <v>45458</v>
      </c>
      <c r="U18" s="27">
        <f t="shared" si="4"/>
        <v>45459</v>
      </c>
      <c r="V18" s="27">
        <f t="shared" si="4"/>
        <v>45460</v>
      </c>
      <c r="W18" s="27">
        <f t="shared" si="4"/>
        <v>45461</v>
      </c>
      <c r="X18" s="27">
        <f t="shared" si="4"/>
        <v>45462</v>
      </c>
      <c r="Y18" s="27">
        <f t="shared" si="4"/>
        <v>45463</v>
      </c>
      <c r="Z18" s="27">
        <f t="shared" si="4"/>
        <v>45464</v>
      </c>
      <c r="AA18" s="27">
        <f t="shared" si="4"/>
        <v>45465</v>
      </c>
      <c r="AB18" s="27">
        <f t="shared" si="4"/>
        <v>45466</v>
      </c>
      <c r="AC18" s="27">
        <f t="shared" si="4"/>
        <v>45467</v>
      </c>
      <c r="AD18" s="27">
        <f t="shared" si="4"/>
        <v>45468</v>
      </c>
      <c r="AE18" s="27">
        <f t="shared" si="4"/>
        <v>45469</v>
      </c>
      <c r="AF18" s="27">
        <f t="shared" si="4"/>
        <v>45470</v>
      </c>
      <c r="AG18" s="27">
        <f t="shared" si="4"/>
        <v>45471</v>
      </c>
      <c r="AH18" s="27">
        <f t="shared" si="4"/>
        <v>45472</v>
      </c>
      <c r="AI18" s="202">
        <f t="shared" si="4"/>
        <v>45473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160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Sa</v>
      </c>
      <c r="G19" s="93" t="str">
        <f>IF(G14=1,TEXT(G$18,H_Label!$B$24&amp;"TTT"),0)</f>
        <v>So</v>
      </c>
      <c r="H19" s="93" t="str">
        <f>IF(H14=1,TEXT(H$18,H_Label!$B$24&amp;"TTT"),0)</f>
        <v>Mo</v>
      </c>
      <c r="I19" s="93" t="str">
        <f>IF(I14=1,TEXT(I$18,H_Label!$B$24&amp;"TTT"),0)</f>
        <v>Di</v>
      </c>
      <c r="J19" s="93" t="str">
        <f>IF(J14=1,TEXT(J$18,H_Label!$B$24&amp;"TTT"),0)</f>
        <v>Mi</v>
      </c>
      <c r="K19" s="93" t="str">
        <f>IF(K14=1,TEXT(K$18,H_Label!$B$24&amp;"TTT"),0)</f>
        <v>Do</v>
      </c>
      <c r="L19" s="93" t="str">
        <f>IF(L14=1,TEXT(L$18,H_Label!$B$24&amp;"TTT"),0)</f>
        <v>Fr</v>
      </c>
      <c r="M19" s="93" t="str">
        <f>IF(M14=1,TEXT(M$18,H_Label!$B$24&amp;"TTT"),0)</f>
        <v>Sa</v>
      </c>
      <c r="N19" s="93" t="str">
        <f>IF(N14=1,TEXT(N$18,H_Label!$B$24&amp;"TTT"),0)</f>
        <v>So</v>
      </c>
      <c r="O19" s="93" t="str">
        <f>IF(O14=1,TEXT(O$18,H_Label!$B$24&amp;"TTT"),0)</f>
        <v>Mo</v>
      </c>
      <c r="P19" s="93" t="str">
        <f>IF(P14=1,TEXT(P$18,H_Label!$B$24&amp;"TTT"),0)</f>
        <v>Di</v>
      </c>
      <c r="Q19" s="93" t="str">
        <f>IF(Q14=1,TEXT(Q$18,H_Label!$B$24&amp;"TTT"),0)</f>
        <v>Mi</v>
      </c>
      <c r="R19" s="93" t="str">
        <f>IF(R14=1,TEXT(R$18,H_Label!$B$24&amp;"TTT"),0)</f>
        <v>Do</v>
      </c>
      <c r="S19" s="93" t="str">
        <f>IF(S14=1,TEXT(S$18,H_Label!$B$24&amp;"TTT"),0)</f>
        <v>Fr</v>
      </c>
      <c r="T19" s="93" t="str">
        <f>IF(T14=1,TEXT(T$18,H_Label!$B$24&amp;"TTT"),0)</f>
        <v>Sa</v>
      </c>
      <c r="U19" s="93" t="str">
        <f>IF(U14=1,TEXT(U$18,H_Label!$B$24&amp;"TTT"),0)</f>
        <v>So</v>
      </c>
      <c r="V19" s="93" t="str">
        <f>IF(V14=1,TEXT(V$18,H_Label!$B$24&amp;"TTT"),0)</f>
        <v>Mo</v>
      </c>
      <c r="W19" s="93" t="str">
        <f>IF(W14=1,TEXT(W$18,H_Label!$B$24&amp;"TTT"),0)</f>
        <v>Di</v>
      </c>
      <c r="X19" s="93" t="str">
        <f>IF(X14=1,TEXT(X$18,H_Label!$B$24&amp;"TTT"),0)</f>
        <v>Mi</v>
      </c>
      <c r="Y19" s="93" t="str">
        <f>IF(Y14=1,TEXT(Y$18,H_Label!$B$24&amp;"TTT"),0)</f>
        <v>Do</v>
      </c>
      <c r="Z19" s="93" t="str">
        <f>IF(Z14=1,TEXT(Z$18,H_Label!$B$24&amp;"TTT"),0)</f>
        <v>Fr</v>
      </c>
      <c r="AA19" s="93" t="str">
        <f>IF(AA14=1,TEXT(AA$18,H_Label!$B$24&amp;"TTT"),0)</f>
        <v>Sa</v>
      </c>
      <c r="AB19" s="93" t="str">
        <f>IF(AB14=1,TEXT(AB$18,H_Label!$B$24&amp;"TTT"),0)</f>
        <v>So</v>
      </c>
      <c r="AC19" s="93" t="str">
        <f>IF(AC14=1,TEXT(AC$18,H_Label!$B$24&amp;"TTT"),0)</f>
        <v>Mo</v>
      </c>
      <c r="AD19" s="93" t="str">
        <f>IF(AD14=1,TEXT(AD$18,H_Label!$B$24&amp;"TTT"),0)</f>
        <v>Di</v>
      </c>
      <c r="AE19" s="93" t="str">
        <f>IF(AE14=1,TEXT(AE$18,H_Label!$B$24&amp;"TTT"),0)</f>
        <v>Mi</v>
      </c>
      <c r="AF19" s="93" t="str">
        <f>IF(AF14=1,TEXT(AF$18,H_Label!$B$24&amp;"TTT"),0)</f>
        <v>Do</v>
      </c>
      <c r="AG19" s="93" t="str">
        <f>IF(AG14=1,TEXT(AG$18,H_Label!$B$24&amp;"TTT"),0)</f>
        <v>Fr</v>
      </c>
      <c r="AH19" s="93" t="str">
        <f>IF(AH14=1,TEXT(AH$18,H_Label!$B$24&amp;"TTT"),0)</f>
        <v>Sa</v>
      </c>
      <c r="AI19" s="93" t="str">
        <f>IF(AI14=1,TEXT(AI$18,H_Label!$B$24&amp;"TTT"),0)</f>
        <v>So</v>
      </c>
      <c r="AJ19" s="93">
        <f>IF(AJ14=1,TEXT(AJ$18,H_Label!$B$24&amp;"TTT"),0)</f>
        <v>0</v>
      </c>
      <c r="AK19" s="409"/>
      <c r="AL19" s="118">
        <f>NETWORKDAYS($F$18,EOMONTH($F$18,0))</f>
        <v>20</v>
      </c>
      <c r="AM19" s="292">
        <f>SUM(F20:AJ20)</f>
        <v>160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0</v>
      </c>
      <c r="G20" s="26" cm="1">
        <f t="array" ref="G20">IF(OR(G14=0,G51="x"),0,A_fldSollTagStd*SUMPRODUCT((H_tblBGTage=WEEKDAY(G16,2))*(H_tblBGMnt=M_Monat)*H_tblBG%))</f>
        <v>0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0</v>
      </c>
      <c r="N20" s="26" cm="1">
        <f t="array" ref="N20">IF(OR(N14=0,N51="x"),0,A_fldSollTagStd*SUMPRODUCT((H_tblBGTage=WEEKDAY(N16,2))*(H_tblBGMnt=M_Monat)*H_tblBG%))</f>
        <v>0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0</v>
      </c>
      <c r="U20" s="26" cm="1">
        <f t="array" ref="U20">IF(OR(U14=0,U51="x"),0,A_fldSollTagStd*SUMPRODUCT((H_tblBGTage=WEEKDAY(U16,2))*(H_tblBGMnt=M_Monat)*H_tblBG%))</f>
        <v>0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0</v>
      </c>
      <c r="AB20" s="26" cm="1">
        <f t="array" ref="AB20">IF(OR(AB14=0,AB51="x"),0,A_fldSollTagStd*SUMPRODUCT((H_tblBGTage=WEEKDAY(AB16,2))*(H_tblBGMnt=M_Monat)*H_tblBG%))</f>
        <v>0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0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Jul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Jul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20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6L4zc3pwQ7GZEAG71I9iWR2Wn2J23qQtjyJ+uCXEFXdM8I8XsWDHggCaRmGH7bc40MNX0s4fKfzGGjkaMi4nzA==" saltValue="PiK6IRPOVwkXVKFIinXgZ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6 F29:AJ29 F31:AJ32 F34:AJ48 F50:AJ51">
    <cfRule type="expression" dxfId="129" priority="17">
      <formula>F$21="ft"</formula>
    </cfRule>
  </conditionalFormatting>
  <conditionalFormatting sqref="F18:AJ21 F23:AJ27 F29:AJ32 F34:AJ48 F50:AJ51">
    <cfRule type="expression" dxfId="128" priority="8">
      <formula>AND(F$14=0,$B18=0)</formula>
    </cfRule>
  </conditionalFormatting>
  <conditionalFormatting sqref="F26:AJ27 F30:AJ30">
    <cfRule type="expression" dxfId="127" priority="10">
      <formula>OR(WEEKDAY(F$16,2)=7,F$15=2)</formula>
    </cfRule>
  </conditionalFormatting>
  <conditionalFormatting sqref="F34:AJ48 F50:AJ51 F18:AJ21 F23:AJ26 F29:AJ29 F31:AJ32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0:AJ51">
    <cfRule type="containsText" dxfId="124" priority="11" operator="containsText" text="x">
      <formula>NOT(ISERROR(SEARCH("x",F50)))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2" priority="2">
      <formula>H_fldFerienEndSaldo&lt;0</formula>
    </cfRule>
  </conditionalFormatting>
  <conditionalFormatting sqref="AG18:AJ21 AG23:AJ27 AG29:AJ32 AG34:AJ48 AG50:AJ51">
    <cfRule type="expression" dxfId="121" priority="6">
      <formula>AND(AG$14=0,$B18&lt;&gt;0)</formula>
    </cfRule>
    <cfRule type="expression" dxfId="120" priority="7">
      <formula>AG$15=2</formula>
    </cfRule>
  </conditionalFormatting>
  <conditionalFormatting sqref="AJ17:AJ21 AJ23:AJ27 AJ29:AJ32 AJ34:AJ48 AJ50:AJ51">
    <cfRule type="expression" dxfId="11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8174FF6D-026E-43AE-8028-AD58E5320565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57AC8E4F-DC13-4886-A34A-CB54B72F7CD9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8CF2791-78AE-4875-B336-1AD44C21A05B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D7258D05-3AEB-4462-85E0-7818FE90AEAC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AB4A37C1-02B6-4939-9B76-7485C1FBEB85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033A2121-4BFD-4217-91E9-5B584FB75DDA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0882C578-18C1-4E6D-BAC5-8472D27CC14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2735AB7B-678E-436F-9ABF-ECF1FDA4C09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D10B407-6A34-440E-ACD7-96C0E92AD753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30D3C590-1FFF-477B-B962-54DDA520E290}">
      <formula1>-4000</formula1>
    </dataValidation>
  </dataValidations>
  <hyperlinks>
    <hyperlink ref="AJ12" location="Jahresauswertung!H3" display="." xr:uid="{710E4FE2-8A4A-4643-87F3-BA498363768E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C11E581-DEEB-4515-A65B-E265A58D8E52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720F5C23-5265-47AE-B117-C1AFA8ABFE2C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DFA-22B3-4257-A9F0-6A7F6ED428C1}">
  <sheetPr codeName="m07jul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Juli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45474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Juli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-184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7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45474</v>
      </c>
      <c r="G16" s="431">
        <f>F$16+1</f>
        <v>45475</v>
      </c>
      <c r="H16" s="431">
        <f t="shared" ref="H16:AJ16" si="2">G$16+1</f>
        <v>45476</v>
      </c>
      <c r="I16" s="431">
        <f t="shared" si="2"/>
        <v>45477</v>
      </c>
      <c r="J16" s="431">
        <f t="shared" si="2"/>
        <v>45478</v>
      </c>
      <c r="K16" s="431">
        <f t="shared" si="2"/>
        <v>45479</v>
      </c>
      <c r="L16" s="432">
        <f t="shared" si="2"/>
        <v>45480</v>
      </c>
      <c r="M16" s="432">
        <f t="shared" si="2"/>
        <v>45481</v>
      </c>
      <c r="N16" s="433">
        <f t="shared" si="2"/>
        <v>45482</v>
      </c>
      <c r="O16" s="434">
        <f t="shared" si="2"/>
        <v>45483</v>
      </c>
      <c r="P16" s="434">
        <f t="shared" si="2"/>
        <v>45484</v>
      </c>
      <c r="Q16" s="434">
        <f t="shared" si="2"/>
        <v>45485</v>
      </c>
      <c r="R16" s="434">
        <f t="shared" si="2"/>
        <v>45486</v>
      </c>
      <c r="S16" s="434">
        <f t="shared" si="2"/>
        <v>45487</v>
      </c>
      <c r="T16" s="434">
        <f t="shared" si="2"/>
        <v>45488</v>
      </c>
      <c r="U16" s="434">
        <f t="shared" si="2"/>
        <v>45489</v>
      </c>
      <c r="V16" s="434">
        <f t="shared" si="2"/>
        <v>45490</v>
      </c>
      <c r="W16" s="434">
        <f t="shared" si="2"/>
        <v>45491</v>
      </c>
      <c r="X16" s="434">
        <f t="shared" si="2"/>
        <v>45492</v>
      </c>
      <c r="Y16" s="434">
        <f t="shared" si="2"/>
        <v>45493</v>
      </c>
      <c r="Z16" s="434">
        <f t="shared" si="2"/>
        <v>45494</v>
      </c>
      <c r="AA16" s="434">
        <f t="shared" si="2"/>
        <v>45495</v>
      </c>
      <c r="AB16" s="434">
        <f t="shared" si="2"/>
        <v>45496</v>
      </c>
      <c r="AC16" s="434">
        <f t="shared" si="2"/>
        <v>45497</v>
      </c>
      <c r="AD16" s="434">
        <f t="shared" si="2"/>
        <v>45498</v>
      </c>
      <c r="AE16" s="434">
        <f t="shared" si="2"/>
        <v>45499</v>
      </c>
      <c r="AF16" s="435">
        <f t="shared" si="2"/>
        <v>45500</v>
      </c>
      <c r="AG16" s="435">
        <f t="shared" si="2"/>
        <v>45501</v>
      </c>
      <c r="AH16" s="435">
        <f t="shared" si="2"/>
        <v>45502</v>
      </c>
      <c r="AI16" s="435">
        <f t="shared" si="2"/>
        <v>45503</v>
      </c>
      <c r="AJ16" s="436">
        <f t="shared" si="2"/>
        <v>45504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27</v>
      </c>
      <c r="G17" s="207">
        <f t="shared" ref="G17:AJ17" si="3">WEEKNUM(G$16,21)</f>
        <v>27</v>
      </c>
      <c r="H17" s="207">
        <f t="shared" si="3"/>
        <v>27</v>
      </c>
      <c r="I17" s="207">
        <f t="shared" si="3"/>
        <v>27</v>
      </c>
      <c r="J17" s="207">
        <f t="shared" si="3"/>
        <v>27</v>
      </c>
      <c r="K17" s="207">
        <f t="shared" si="3"/>
        <v>27</v>
      </c>
      <c r="L17" s="207">
        <f t="shared" si="3"/>
        <v>27</v>
      </c>
      <c r="M17" s="207">
        <f t="shared" si="3"/>
        <v>28</v>
      </c>
      <c r="N17" s="207">
        <f t="shared" si="3"/>
        <v>28</v>
      </c>
      <c r="O17" s="207">
        <f t="shared" si="3"/>
        <v>28</v>
      </c>
      <c r="P17" s="207">
        <f t="shared" si="3"/>
        <v>28</v>
      </c>
      <c r="Q17" s="207">
        <f t="shared" si="3"/>
        <v>28</v>
      </c>
      <c r="R17" s="207">
        <f t="shared" si="3"/>
        <v>28</v>
      </c>
      <c r="S17" s="207">
        <f t="shared" si="3"/>
        <v>28</v>
      </c>
      <c r="T17" s="207">
        <f t="shared" si="3"/>
        <v>29</v>
      </c>
      <c r="U17" s="207">
        <f t="shared" si="3"/>
        <v>29</v>
      </c>
      <c r="V17" s="207">
        <f t="shared" si="3"/>
        <v>29</v>
      </c>
      <c r="W17" s="207">
        <f t="shared" si="3"/>
        <v>29</v>
      </c>
      <c r="X17" s="207">
        <f t="shared" si="3"/>
        <v>29</v>
      </c>
      <c r="Y17" s="207">
        <f t="shared" si="3"/>
        <v>29</v>
      </c>
      <c r="Z17" s="207">
        <f t="shared" si="3"/>
        <v>29</v>
      </c>
      <c r="AA17" s="207">
        <f t="shared" si="3"/>
        <v>30</v>
      </c>
      <c r="AB17" s="207">
        <f t="shared" si="3"/>
        <v>30</v>
      </c>
      <c r="AC17" s="207">
        <f t="shared" si="3"/>
        <v>30</v>
      </c>
      <c r="AD17" s="207">
        <f t="shared" si="3"/>
        <v>30</v>
      </c>
      <c r="AE17" s="207">
        <f t="shared" si="3"/>
        <v>30</v>
      </c>
      <c r="AF17" s="207">
        <f t="shared" si="3"/>
        <v>30</v>
      </c>
      <c r="AG17" s="207">
        <f t="shared" si="3"/>
        <v>30</v>
      </c>
      <c r="AH17" s="207">
        <f t="shared" si="3"/>
        <v>31</v>
      </c>
      <c r="AI17" s="207">
        <f t="shared" si="3"/>
        <v>31</v>
      </c>
      <c r="AJ17" s="208">
        <f t="shared" si="3"/>
        <v>31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45474</v>
      </c>
      <c r="G18" s="28">
        <f t="shared" ref="G18:AJ18" si="4">IF(G14,G16,0)</f>
        <v>45475</v>
      </c>
      <c r="H18" s="27">
        <f t="shared" si="4"/>
        <v>45476</v>
      </c>
      <c r="I18" s="27">
        <f t="shared" si="4"/>
        <v>45477</v>
      </c>
      <c r="J18" s="27">
        <f t="shared" si="4"/>
        <v>45478</v>
      </c>
      <c r="K18" s="27">
        <f t="shared" si="4"/>
        <v>45479</v>
      </c>
      <c r="L18" s="27">
        <f t="shared" si="4"/>
        <v>45480</v>
      </c>
      <c r="M18" s="27">
        <f t="shared" si="4"/>
        <v>45481</v>
      </c>
      <c r="N18" s="27">
        <f t="shared" si="4"/>
        <v>45482</v>
      </c>
      <c r="O18" s="27">
        <f t="shared" si="4"/>
        <v>45483</v>
      </c>
      <c r="P18" s="27">
        <f t="shared" si="4"/>
        <v>45484</v>
      </c>
      <c r="Q18" s="27">
        <f t="shared" si="4"/>
        <v>45485</v>
      </c>
      <c r="R18" s="27">
        <f t="shared" si="4"/>
        <v>45486</v>
      </c>
      <c r="S18" s="27">
        <f t="shared" si="4"/>
        <v>45487</v>
      </c>
      <c r="T18" s="27">
        <f t="shared" si="4"/>
        <v>45488</v>
      </c>
      <c r="U18" s="27">
        <f t="shared" si="4"/>
        <v>45489</v>
      </c>
      <c r="V18" s="27">
        <f t="shared" si="4"/>
        <v>45490</v>
      </c>
      <c r="W18" s="27">
        <f t="shared" si="4"/>
        <v>45491</v>
      </c>
      <c r="X18" s="27">
        <f t="shared" si="4"/>
        <v>45492</v>
      </c>
      <c r="Y18" s="27">
        <f t="shared" si="4"/>
        <v>45493</v>
      </c>
      <c r="Z18" s="27">
        <f t="shared" si="4"/>
        <v>45494</v>
      </c>
      <c r="AA18" s="27">
        <f t="shared" si="4"/>
        <v>45495</v>
      </c>
      <c r="AB18" s="27">
        <f t="shared" si="4"/>
        <v>45496</v>
      </c>
      <c r="AC18" s="27">
        <f t="shared" si="4"/>
        <v>45497</v>
      </c>
      <c r="AD18" s="27">
        <f t="shared" si="4"/>
        <v>45498</v>
      </c>
      <c r="AE18" s="27">
        <f t="shared" si="4"/>
        <v>45499</v>
      </c>
      <c r="AF18" s="27">
        <f t="shared" si="4"/>
        <v>45500</v>
      </c>
      <c r="AG18" s="27">
        <f t="shared" si="4"/>
        <v>45501</v>
      </c>
      <c r="AH18" s="27">
        <f t="shared" si="4"/>
        <v>45502</v>
      </c>
      <c r="AI18" s="202">
        <f t="shared" si="4"/>
        <v>45503</v>
      </c>
      <c r="AJ18" s="202">
        <f t="shared" si="4"/>
        <v>45504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Mo</v>
      </c>
      <c r="G19" s="93" t="str">
        <f>IF(G14=1,TEXT(G$18,H_Label!$B$24&amp;"TTT"),0)</f>
        <v>Di</v>
      </c>
      <c r="H19" s="93" t="str">
        <f>IF(H14=1,TEXT(H$18,H_Label!$B$24&amp;"TTT"),0)</f>
        <v>Mi</v>
      </c>
      <c r="I19" s="93" t="str">
        <f>IF(I14=1,TEXT(I$18,H_Label!$B$24&amp;"TTT"),0)</f>
        <v>Do</v>
      </c>
      <c r="J19" s="93" t="str">
        <f>IF(J14=1,TEXT(J$18,H_Label!$B$24&amp;"TTT"),0)</f>
        <v>Fr</v>
      </c>
      <c r="K19" s="93" t="str">
        <f>IF(K14=1,TEXT(K$18,H_Label!$B$24&amp;"TTT"),0)</f>
        <v>Sa</v>
      </c>
      <c r="L19" s="93" t="str">
        <f>IF(L14=1,TEXT(L$18,H_Label!$B$24&amp;"TTT"),0)</f>
        <v>So</v>
      </c>
      <c r="M19" s="93" t="str">
        <f>IF(M14=1,TEXT(M$18,H_Label!$B$24&amp;"TTT"),0)</f>
        <v>Mo</v>
      </c>
      <c r="N19" s="93" t="str">
        <f>IF(N14=1,TEXT(N$18,H_Label!$B$24&amp;"TTT"),0)</f>
        <v>Di</v>
      </c>
      <c r="O19" s="93" t="str">
        <f>IF(O14=1,TEXT(O$18,H_Label!$B$24&amp;"TTT"),0)</f>
        <v>Mi</v>
      </c>
      <c r="P19" s="93" t="str">
        <f>IF(P14=1,TEXT(P$18,H_Label!$B$24&amp;"TTT"),0)</f>
        <v>Do</v>
      </c>
      <c r="Q19" s="93" t="str">
        <f>IF(Q14=1,TEXT(Q$18,H_Label!$B$24&amp;"TTT"),0)</f>
        <v>Fr</v>
      </c>
      <c r="R19" s="93" t="str">
        <f>IF(R14=1,TEXT(R$18,H_Label!$B$24&amp;"TTT"),0)</f>
        <v>Sa</v>
      </c>
      <c r="S19" s="93" t="str">
        <f>IF(S14=1,TEXT(S$18,H_Label!$B$24&amp;"TTT"),0)</f>
        <v>So</v>
      </c>
      <c r="T19" s="93" t="str">
        <f>IF(T14=1,TEXT(T$18,H_Label!$B$24&amp;"TTT"),0)</f>
        <v>Mo</v>
      </c>
      <c r="U19" s="93" t="str">
        <f>IF(U14=1,TEXT(U$18,H_Label!$B$24&amp;"TTT"),0)</f>
        <v>Di</v>
      </c>
      <c r="V19" s="93" t="str">
        <f>IF(V14=1,TEXT(V$18,H_Label!$B$24&amp;"TTT"),0)</f>
        <v>Mi</v>
      </c>
      <c r="W19" s="93" t="str">
        <f>IF(W14=1,TEXT(W$18,H_Label!$B$24&amp;"TTT"),0)</f>
        <v>Do</v>
      </c>
      <c r="X19" s="93" t="str">
        <f>IF(X14=1,TEXT(X$18,H_Label!$B$24&amp;"TTT"),0)</f>
        <v>Fr</v>
      </c>
      <c r="Y19" s="93" t="str">
        <f>IF(Y14=1,TEXT(Y$18,H_Label!$B$24&amp;"TTT"),0)</f>
        <v>Sa</v>
      </c>
      <c r="Z19" s="93" t="str">
        <f>IF(Z14=1,TEXT(Z$18,H_Label!$B$24&amp;"TTT"),0)</f>
        <v>So</v>
      </c>
      <c r="AA19" s="93" t="str">
        <f>IF(AA14=1,TEXT(AA$18,H_Label!$B$24&amp;"TTT"),0)</f>
        <v>Mo</v>
      </c>
      <c r="AB19" s="93" t="str">
        <f>IF(AB14=1,TEXT(AB$18,H_Label!$B$24&amp;"TTT"),0)</f>
        <v>Di</v>
      </c>
      <c r="AC19" s="93" t="str">
        <f>IF(AC14=1,TEXT(AC$18,H_Label!$B$24&amp;"TTT"),0)</f>
        <v>Mi</v>
      </c>
      <c r="AD19" s="93" t="str">
        <f>IF(AD14=1,TEXT(AD$18,H_Label!$B$24&amp;"TTT"),0)</f>
        <v>Do</v>
      </c>
      <c r="AE19" s="93" t="str">
        <f>IF(AE14=1,TEXT(AE$18,H_Label!$B$24&amp;"TTT"),0)</f>
        <v>Fr</v>
      </c>
      <c r="AF19" s="93" t="str">
        <f>IF(AF14=1,TEXT(AF$18,H_Label!$B$24&amp;"TTT"),0)</f>
        <v>Sa</v>
      </c>
      <c r="AG19" s="93" t="str">
        <f>IF(AG14=1,TEXT(AG$18,H_Label!$B$24&amp;"TTT"),0)</f>
        <v>So</v>
      </c>
      <c r="AH19" s="93" t="str">
        <f>IF(AH14=1,TEXT(AH$18,H_Label!$B$24&amp;"TTT"),0)</f>
        <v>Mo</v>
      </c>
      <c r="AI19" s="93" t="str">
        <f>IF(AI14=1,TEXT(AI$18,H_Label!$B$24&amp;"TTT"),0)</f>
        <v>Di</v>
      </c>
      <c r="AJ19" s="93" t="str">
        <f>IF(AJ14=1,TEXT(AJ$18,H_Label!$B$24&amp;"TTT"),0)</f>
        <v>Mi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Aug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Aug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H9ApN6IRPJwgDAS5K5T2TDA499hBGeINadZWnfGoDw3RWovAH46gXk4MoB6qQwPpe74mg2touq/G2PEwmvYbvg==" saltValue="ces4I/YKwzXjgjgfsRLYf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6 F29:AJ29 F31:AJ32 F34:AJ48 F50:AJ51">
    <cfRule type="expression" dxfId="111" priority="17">
      <formula>F$21="ft"</formula>
    </cfRule>
  </conditionalFormatting>
  <conditionalFormatting sqref="F18:AJ21 F23:AJ27 F29:AJ32 F34:AJ48 F50:AJ51">
    <cfRule type="expression" dxfId="110" priority="8">
      <formula>AND(F$14=0,$B18=0)</formula>
    </cfRule>
  </conditionalFormatting>
  <conditionalFormatting sqref="F26:AJ27 F30:AJ30">
    <cfRule type="expression" dxfId="109" priority="10">
      <formula>OR(WEEKDAY(F$16,2)=7,F$15=2)</formula>
    </cfRule>
  </conditionalFormatting>
  <conditionalFormatting sqref="F34:AJ48 F50:AJ51 F18:AJ21 F23:AJ26 F29:AJ29 F31:AJ32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0:AJ51">
    <cfRule type="containsText" dxfId="106" priority="11" operator="containsText" text="x">
      <formula>NOT(ISERROR(SEARCH("x",F50)))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4" priority="2">
      <formula>H_fldFerienEndSaldo&lt;0</formula>
    </cfRule>
  </conditionalFormatting>
  <conditionalFormatting sqref="AG18:AJ21 AG23:AJ27 AG29:AJ32 AG34:AJ48 AG50:AJ51">
    <cfRule type="expression" dxfId="103" priority="6">
      <formula>AND(AG$14=0,$B18&lt;&gt;0)</formula>
    </cfRule>
    <cfRule type="expression" dxfId="102" priority="7">
      <formula>AG$15=2</formula>
    </cfRule>
  </conditionalFormatting>
  <conditionalFormatting sqref="AJ17:AJ21 AJ23:AJ27 AJ29:AJ32 AJ34:AJ48 AJ50:AJ51">
    <cfRule type="expression" dxfId="10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C0C24C7B-0DA5-46FC-B3D5-BA83B880FD33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CB68E2C3-597F-4984-8CAA-21CE349D934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E8497DB-0213-4274-8F09-8731F1A8B09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F086946-85BE-4ADD-8A8C-2DFE2D2F8A0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A2E969CF-E149-4A36-AE30-AEEDFC2FFC15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D296B517-AD75-451C-8392-AF357F13359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D4CFA83-87DE-4A5A-BB8B-3E626C1E41C8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894B1CBE-273F-4055-8EEE-53D6FC7E3A3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90B1EEF5-5CBC-49F4-8964-3EE9FF14321B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22CEE0F7-2D26-4360-AA75-029F823EA3AE}">
      <formula1>-4000</formula1>
    </dataValidation>
  </dataValidations>
  <hyperlinks>
    <hyperlink ref="AJ12" location="Jahresauswertung!H3" display="." xr:uid="{46BA015A-5926-44A2-92BE-896BA317A79C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BC70118-900B-4AEE-B7AA-B337F6BA1904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2D90EB7C-7C9E-47CE-A948-0A7E69F77ECF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F5D9-290B-4353-A2D6-2DEAAF30A58D}">
  <sheetPr codeName="m08aug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August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45505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August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-176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8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45505</v>
      </c>
      <c r="G16" s="431">
        <f>F$16+1</f>
        <v>45506</v>
      </c>
      <c r="H16" s="431">
        <f t="shared" ref="H16:AJ16" si="2">G$16+1</f>
        <v>45507</v>
      </c>
      <c r="I16" s="431">
        <f t="shared" si="2"/>
        <v>45508</v>
      </c>
      <c r="J16" s="431">
        <f t="shared" si="2"/>
        <v>45509</v>
      </c>
      <c r="K16" s="431">
        <f t="shared" si="2"/>
        <v>45510</v>
      </c>
      <c r="L16" s="432">
        <f t="shared" si="2"/>
        <v>45511</v>
      </c>
      <c r="M16" s="432">
        <f t="shared" si="2"/>
        <v>45512</v>
      </c>
      <c r="N16" s="433">
        <f t="shared" si="2"/>
        <v>45513</v>
      </c>
      <c r="O16" s="434">
        <f t="shared" si="2"/>
        <v>45514</v>
      </c>
      <c r="P16" s="434">
        <f t="shared" si="2"/>
        <v>45515</v>
      </c>
      <c r="Q16" s="434">
        <f t="shared" si="2"/>
        <v>45516</v>
      </c>
      <c r="R16" s="434">
        <f t="shared" si="2"/>
        <v>45517</v>
      </c>
      <c r="S16" s="434">
        <f t="shared" si="2"/>
        <v>45518</v>
      </c>
      <c r="T16" s="434">
        <f t="shared" si="2"/>
        <v>45519</v>
      </c>
      <c r="U16" s="434">
        <f t="shared" si="2"/>
        <v>45520</v>
      </c>
      <c r="V16" s="434">
        <f t="shared" si="2"/>
        <v>45521</v>
      </c>
      <c r="W16" s="434">
        <f t="shared" si="2"/>
        <v>45522</v>
      </c>
      <c r="X16" s="434">
        <f t="shared" si="2"/>
        <v>45523</v>
      </c>
      <c r="Y16" s="434">
        <f t="shared" si="2"/>
        <v>45524</v>
      </c>
      <c r="Z16" s="434">
        <f t="shared" si="2"/>
        <v>45525</v>
      </c>
      <c r="AA16" s="434">
        <f t="shared" si="2"/>
        <v>45526</v>
      </c>
      <c r="AB16" s="434">
        <f t="shared" si="2"/>
        <v>45527</v>
      </c>
      <c r="AC16" s="434">
        <f t="shared" si="2"/>
        <v>45528</v>
      </c>
      <c r="AD16" s="434">
        <f t="shared" si="2"/>
        <v>45529</v>
      </c>
      <c r="AE16" s="434">
        <f t="shared" si="2"/>
        <v>45530</v>
      </c>
      <c r="AF16" s="435">
        <f t="shared" si="2"/>
        <v>45531</v>
      </c>
      <c r="AG16" s="435">
        <f t="shared" si="2"/>
        <v>45532</v>
      </c>
      <c r="AH16" s="435">
        <f t="shared" si="2"/>
        <v>45533</v>
      </c>
      <c r="AI16" s="435">
        <f t="shared" si="2"/>
        <v>45534</v>
      </c>
      <c r="AJ16" s="436">
        <f t="shared" si="2"/>
        <v>45535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31</v>
      </c>
      <c r="G17" s="207">
        <f t="shared" ref="G17:AJ17" si="3">WEEKNUM(G$16,21)</f>
        <v>31</v>
      </c>
      <c r="H17" s="207">
        <f t="shared" si="3"/>
        <v>31</v>
      </c>
      <c r="I17" s="207">
        <f t="shared" si="3"/>
        <v>31</v>
      </c>
      <c r="J17" s="207">
        <f t="shared" si="3"/>
        <v>32</v>
      </c>
      <c r="K17" s="207">
        <f t="shared" si="3"/>
        <v>32</v>
      </c>
      <c r="L17" s="207">
        <f t="shared" si="3"/>
        <v>32</v>
      </c>
      <c r="M17" s="207">
        <f t="shared" si="3"/>
        <v>32</v>
      </c>
      <c r="N17" s="207">
        <f t="shared" si="3"/>
        <v>32</v>
      </c>
      <c r="O17" s="207">
        <f t="shared" si="3"/>
        <v>32</v>
      </c>
      <c r="P17" s="207">
        <f t="shared" si="3"/>
        <v>32</v>
      </c>
      <c r="Q17" s="207">
        <f t="shared" si="3"/>
        <v>33</v>
      </c>
      <c r="R17" s="207">
        <f t="shared" si="3"/>
        <v>33</v>
      </c>
      <c r="S17" s="207">
        <f t="shared" si="3"/>
        <v>33</v>
      </c>
      <c r="T17" s="207">
        <f t="shared" si="3"/>
        <v>33</v>
      </c>
      <c r="U17" s="207">
        <f t="shared" si="3"/>
        <v>33</v>
      </c>
      <c r="V17" s="207">
        <f t="shared" si="3"/>
        <v>33</v>
      </c>
      <c r="W17" s="207">
        <f t="shared" si="3"/>
        <v>33</v>
      </c>
      <c r="X17" s="207">
        <f t="shared" si="3"/>
        <v>34</v>
      </c>
      <c r="Y17" s="207">
        <f t="shared" si="3"/>
        <v>34</v>
      </c>
      <c r="Z17" s="207">
        <f t="shared" si="3"/>
        <v>34</v>
      </c>
      <c r="AA17" s="207">
        <f t="shared" si="3"/>
        <v>34</v>
      </c>
      <c r="AB17" s="207">
        <f t="shared" si="3"/>
        <v>34</v>
      </c>
      <c r="AC17" s="207">
        <f t="shared" si="3"/>
        <v>34</v>
      </c>
      <c r="AD17" s="207">
        <f t="shared" si="3"/>
        <v>34</v>
      </c>
      <c r="AE17" s="207">
        <f t="shared" si="3"/>
        <v>35</v>
      </c>
      <c r="AF17" s="207">
        <f t="shared" si="3"/>
        <v>35</v>
      </c>
      <c r="AG17" s="207">
        <f t="shared" si="3"/>
        <v>35</v>
      </c>
      <c r="AH17" s="207">
        <f t="shared" si="3"/>
        <v>35</v>
      </c>
      <c r="AI17" s="207">
        <f t="shared" si="3"/>
        <v>35</v>
      </c>
      <c r="AJ17" s="208">
        <f t="shared" si="3"/>
        <v>35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45505</v>
      </c>
      <c r="G18" s="28">
        <f t="shared" ref="G18:AJ18" si="4">IF(G14,G16,0)</f>
        <v>45506</v>
      </c>
      <c r="H18" s="27">
        <f t="shared" si="4"/>
        <v>45507</v>
      </c>
      <c r="I18" s="27">
        <f t="shared" si="4"/>
        <v>45508</v>
      </c>
      <c r="J18" s="27">
        <f t="shared" si="4"/>
        <v>45509</v>
      </c>
      <c r="K18" s="27">
        <f t="shared" si="4"/>
        <v>45510</v>
      </c>
      <c r="L18" s="27">
        <f t="shared" si="4"/>
        <v>45511</v>
      </c>
      <c r="M18" s="27">
        <f t="shared" si="4"/>
        <v>45512</v>
      </c>
      <c r="N18" s="27">
        <f t="shared" si="4"/>
        <v>45513</v>
      </c>
      <c r="O18" s="27">
        <f t="shared" si="4"/>
        <v>45514</v>
      </c>
      <c r="P18" s="27">
        <f t="shared" si="4"/>
        <v>45515</v>
      </c>
      <c r="Q18" s="27">
        <f t="shared" si="4"/>
        <v>45516</v>
      </c>
      <c r="R18" s="27">
        <f t="shared" si="4"/>
        <v>45517</v>
      </c>
      <c r="S18" s="27">
        <f t="shared" si="4"/>
        <v>45518</v>
      </c>
      <c r="T18" s="27">
        <f t="shared" si="4"/>
        <v>45519</v>
      </c>
      <c r="U18" s="27">
        <f t="shared" si="4"/>
        <v>45520</v>
      </c>
      <c r="V18" s="27">
        <f t="shared" si="4"/>
        <v>45521</v>
      </c>
      <c r="W18" s="27">
        <f t="shared" si="4"/>
        <v>45522</v>
      </c>
      <c r="X18" s="27">
        <f t="shared" si="4"/>
        <v>45523</v>
      </c>
      <c r="Y18" s="27">
        <f t="shared" si="4"/>
        <v>45524</v>
      </c>
      <c r="Z18" s="27">
        <f t="shared" si="4"/>
        <v>45525</v>
      </c>
      <c r="AA18" s="27">
        <f t="shared" si="4"/>
        <v>45526</v>
      </c>
      <c r="AB18" s="27">
        <f t="shared" si="4"/>
        <v>45527</v>
      </c>
      <c r="AC18" s="27">
        <f t="shared" si="4"/>
        <v>45528</v>
      </c>
      <c r="AD18" s="27">
        <f t="shared" si="4"/>
        <v>45529</v>
      </c>
      <c r="AE18" s="27">
        <f t="shared" si="4"/>
        <v>45530</v>
      </c>
      <c r="AF18" s="27">
        <f t="shared" si="4"/>
        <v>45531</v>
      </c>
      <c r="AG18" s="27">
        <f t="shared" si="4"/>
        <v>45532</v>
      </c>
      <c r="AH18" s="27">
        <f t="shared" si="4"/>
        <v>45533</v>
      </c>
      <c r="AI18" s="202">
        <f t="shared" si="4"/>
        <v>45534</v>
      </c>
      <c r="AJ18" s="202">
        <f t="shared" si="4"/>
        <v>45535</v>
      </c>
      <c r="AK18" s="408"/>
      <c r="AL18" s="116">
        <f>_xlfn.DAYS(EOMONTH($F$18,0),$F$18)+1</f>
        <v>31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Do</v>
      </c>
      <c r="G19" s="93" t="str">
        <f>IF(G14=1,TEXT(G$18,H_Label!$B$24&amp;"TTT"),0)</f>
        <v>Fr</v>
      </c>
      <c r="H19" s="93" t="str">
        <f>IF(H14=1,TEXT(H$18,H_Label!$B$24&amp;"TTT"),0)</f>
        <v>Sa</v>
      </c>
      <c r="I19" s="93" t="str">
        <f>IF(I14=1,TEXT(I$18,H_Label!$B$24&amp;"TTT"),0)</f>
        <v>So</v>
      </c>
      <c r="J19" s="93" t="str">
        <f>IF(J14=1,TEXT(J$18,H_Label!$B$24&amp;"TTT"),0)</f>
        <v>Mo</v>
      </c>
      <c r="K19" s="93" t="str">
        <f>IF(K14=1,TEXT(K$18,H_Label!$B$24&amp;"TTT"),0)</f>
        <v>Di</v>
      </c>
      <c r="L19" s="93" t="str">
        <f>IF(L14=1,TEXT(L$18,H_Label!$B$24&amp;"TTT"),0)</f>
        <v>Mi</v>
      </c>
      <c r="M19" s="93" t="str">
        <f>IF(M14=1,TEXT(M$18,H_Label!$B$24&amp;"TTT"),0)</f>
        <v>Do</v>
      </c>
      <c r="N19" s="93" t="str">
        <f>IF(N14=1,TEXT(N$18,H_Label!$B$24&amp;"TTT"),0)</f>
        <v>Fr</v>
      </c>
      <c r="O19" s="93" t="str">
        <f>IF(O14=1,TEXT(O$18,H_Label!$B$24&amp;"TTT"),0)</f>
        <v>Sa</v>
      </c>
      <c r="P19" s="93" t="str">
        <f>IF(P14=1,TEXT(P$18,H_Label!$B$24&amp;"TTT"),0)</f>
        <v>So</v>
      </c>
      <c r="Q19" s="93" t="str">
        <f>IF(Q14=1,TEXT(Q$18,H_Label!$B$24&amp;"TTT"),0)</f>
        <v>Mo</v>
      </c>
      <c r="R19" s="93" t="str">
        <f>IF(R14=1,TEXT(R$18,H_Label!$B$24&amp;"TTT"),0)</f>
        <v>Di</v>
      </c>
      <c r="S19" s="93" t="str">
        <f>IF(S14=1,TEXT(S$18,H_Label!$B$24&amp;"TTT"),0)</f>
        <v>Mi</v>
      </c>
      <c r="T19" s="93" t="str">
        <f>IF(T14=1,TEXT(T$18,H_Label!$B$24&amp;"TTT"),0)</f>
        <v>Do</v>
      </c>
      <c r="U19" s="93" t="str">
        <f>IF(U14=1,TEXT(U$18,H_Label!$B$24&amp;"TTT"),0)</f>
        <v>Fr</v>
      </c>
      <c r="V19" s="93" t="str">
        <f>IF(V14=1,TEXT(V$18,H_Label!$B$24&amp;"TTT"),0)</f>
        <v>Sa</v>
      </c>
      <c r="W19" s="93" t="str">
        <f>IF(W14=1,TEXT(W$18,H_Label!$B$24&amp;"TTT"),0)</f>
        <v>So</v>
      </c>
      <c r="X19" s="93" t="str">
        <f>IF(X14=1,TEXT(X$18,H_Label!$B$24&amp;"TTT"),0)</f>
        <v>Mo</v>
      </c>
      <c r="Y19" s="93" t="str">
        <f>IF(Y14=1,TEXT(Y$18,H_Label!$B$24&amp;"TTT"),0)</f>
        <v>Di</v>
      </c>
      <c r="Z19" s="93" t="str">
        <f>IF(Z14=1,TEXT(Z$18,H_Label!$B$24&amp;"TTT"),0)</f>
        <v>Mi</v>
      </c>
      <c r="AA19" s="93" t="str">
        <f>IF(AA14=1,TEXT(AA$18,H_Label!$B$24&amp;"TTT"),0)</f>
        <v>Do</v>
      </c>
      <c r="AB19" s="93" t="str">
        <f>IF(AB14=1,TEXT(AB$18,H_Label!$B$24&amp;"TTT"),0)</f>
        <v>Fr</v>
      </c>
      <c r="AC19" s="93" t="str">
        <f>IF(AC14=1,TEXT(AC$18,H_Label!$B$24&amp;"TTT"),0)</f>
        <v>Sa</v>
      </c>
      <c r="AD19" s="93" t="str">
        <f>IF(AD14=1,TEXT(AD$18,H_Label!$B$24&amp;"TTT"),0)</f>
        <v>So</v>
      </c>
      <c r="AE19" s="93" t="str">
        <f>IF(AE14=1,TEXT(AE$18,H_Label!$B$24&amp;"TTT"),0)</f>
        <v>Mo</v>
      </c>
      <c r="AF19" s="93" t="str">
        <f>IF(AF14=1,TEXT(AF$18,H_Label!$B$24&amp;"TTT"),0)</f>
        <v>Di</v>
      </c>
      <c r="AG19" s="93" t="str">
        <f>IF(AG14=1,TEXT(AG$18,H_Label!$B$24&amp;"TTT"),0)</f>
        <v>Mi</v>
      </c>
      <c r="AH19" s="93" t="str">
        <f>IF(AH14=1,TEXT(AH$18,H_Label!$B$24&amp;"TTT"),0)</f>
        <v>Do</v>
      </c>
      <c r="AI19" s="93" t="str">
        <f>IF(AI14=1,TEXT(AI$18,H_Label!$B$24&amp;"TTT"),0)</f>
        <v>Fr</v>
      </c>
      <c r="AJ19" s="93" t="str">
        <f>IF(AJ14=1,TEXT(AJ$18,H_Label!$B$24&amp;"TTT"),0)</f>
        <v>Sa</v>
      </c>
      <c r="AK19" s="409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0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0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0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0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22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p+c63sQ2w3ujRAZpKXGW+I82AaJ2PkKDXC3dERiKkbTh8DJtz5Y44FaUtXRVYRRZe+ODSwsBHkcV55KbHiqs2g==" saltValue="yg9daEcrgljGnriQ/4jE2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6 F29:AJ29 F31:AJ32 F34:AJ48 F50:AJ51">
    <cfRule type="expression" dxfId="93" priority="17">
      <formula>F$21="ft"</formula>
    </cfRule>
  </conditionalFormatting>
  <conditionalFormatting sqref="F18:AJ21 F23:AJ27 F29:AJ32 F34:AJ48 F50:AJ51">
    <cfRule type="expression" dxfId="92" priority="8">
      <formula>AND(F$14=0,$B18=0)</formula>
    </cfRule>
  </conditionalFormatting>
  <conditionalFormatting sqref="F26:AJ27 F30:AJ30">
    <cfRule type="expression" dxfId="91" priority="10">
      <formula>OR(WEEKDAY(F$16,2)=7,F$15=2)</formula>
    </cfRule>
  </conditionalFormatting>
  <conditionalFormatting sqref="F34:AJ48 F50:AJ51 F18:AJ21 F23:AJ26 F29:AJ29 F31:AJ32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0:AJ51">
    <cfRule type="containsText" dxfId="88" priority="11" operator="containsText" text="x">
      <formula>NOT(ISERROR(SEARCH("x",F50)))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6" priority="2">
      <formula>H_fldFerienEndSaldo&lt;0</formula>
    </cfRule>
  </conditionalFormatting>
  <conditionalFormatting sqref="AG18:AJ21 AG23:AJ27 AG29:AJ32 AG34:AJ48 AG50:AJ51">
    <cfRule type="expression" dxfId="85" priority="6">
      <formula>AND(AG$14=0,$B18&lt;&gt;0)</formula>
    </cfRule>
    <cfRule type="expression" dxfId="84" priority="7">
      <formula>AG$15=2</formula>
    </cfRule>
  </conditionalFormatting>
  <conditionalFormatting sqref="AJ17:AJ21 AJ23:AJ27 AJ29:AJ32 AJ34:AJ48 AJ50:AJ51">
    <cfRule type="expression" dxfId="8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D1B5E920-7BCA-4242-A992-B73726B26DEF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2A9F84A0-AF58-4C3C-87EE-F30227F717D6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D6553134-12C5-44F6-8ACF-82AE866F71BA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42089B9-437E-4C7E-8528-26E83DF0425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1329602A-7337-4FCA-9AF7-12284A9BC4D8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FDAD51D9-1262-4449-860A-A2165265ACC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A72A2E6-4A65-4553-B8B4-B5A9D61493D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B9AA819A-CBBD-4173-A3A7-B55969D7C23D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D0FD714-7E55-402C-BBEF-2A1094A61536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B7E8C3A0-B4C9-4E35-BED3-BDCA16979F2E}">
      <formula1>-4000</formula1>
    </dataValidation>
  </dataValidations>
  <hyperlinks>
    <hyperlink ref="AJ12" location="Jahresauswertung!H3" display="." xr:uid="{1FD892BA-5234-4274-8CC0-8AF857D69389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23E07C0-D991-4D5C-BFCA-F4E2356405A9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5BFF01AE-B31C-4580-B901-5A2824DF5B2F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EA7B-A335-450C-94EA-566A17D3ED28}">
  <sheetPr codeName="m09sep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September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45536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September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-168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9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45536</v>
      </c>
      <c r="G16" s="431">
        <f>F$16+1</f>
        <v>45537</v>
      </c>
      <c r="H16" s="431">
        <f t="shared" ref="H16:AJ16" si="2">G$16+1</f>
        <v>45538</v>
      </c>
      <c r="I16" s="431">
        <f t="shared" si="2"/>
        <v>45539</v>
      </c>
      <c r="J16" s="431">
        <f t="shared" si="2"/>
        <v>45540</v>
      </c>
      <c r="K16" s="431">
        <f t="shared" si="2"/>
        <v>45541</v>
      </c>
      <c r="L16" s="432">
        <f t="shared" si="2"/>
        <v>45542</v>
      </c>
      <c r="M16" s="432">
        <f t="shared" si="2"/>
        <v>45543</v>
      </c>
      <c r="N16" s="433">
        <f t="shared" si="2"/>
        <v>45544</v>
      </c>
      <c r="O16" s="434">
        <f t="shared" si="2"/>
        <v>45545</v>
      </c>
      <c r="P16" s="434">
        <f t="shared" si="2"/>
        <v>45546</v>
      </c>
      <c r="Q16" s="434">
        <f t="shared" si="2"/>
        <v>45547</v>
      </c>
      <c r="R16" s="434">
        <f t="shared" si="2"/>
        <v>45548</v>
      </c>
      <c r="S16" s="434">
        <f t="shared" si="2"/>
        <v>45549</v>
      </c>
      <c r="T16" s="434">
        <f t="shared" si="2"/>
        <v>45550</v>
      </c>
      <c r="U16" s="434">
        <f t="shared" si="2"/>
        <v>45551</v>
      </c>
      <c r="V16" s="434">
        <f t="shared" si="2"/>
        <v>45552</v>
      </c>
      <c r="W16" s="434">
        <f t="shared" si="2"/>
        <v>45553</v>
      </c>
      <c r="X16" s="434">
        <f t="shared" si="2"/>
        <v>45554</v>
      </c>
      <c r="Y16" s="434">
        <f t="shared" si="2"/>
        <v>45555</v>
      </c>
      <c r="Z16" s="434">
        <f t="shared" si="2"/>
        <v>45556</v>
      </c>
      <c r="AA16" s="434">
        <f t="shared" si="2"/>
        <v>45557</v>
      </c>
      <c r="AB16" s="434">
        <f t="shared" si="2"/>
        <v>45558</v>
      </c>
      <c r="AC16" s="434">
        <f t="shared" si="2"/>
        <v>45559</v>
      </c>
      <c r="AD16" s="434">
        <f t="shared" si="2"/>
        <v>45560</v>
      </c>
      <c r="AE16" s="434">
        <f t="shared" si="2"/>
        <v>45561</v>
      </c>
      <c r="AF16" s="435">
        <f t="shared" si="2"/>
        <v>45562</v>
      </c>
      <c r="AG16" s="435">
        <f t="shared" si="2"/>
        <v>45563</v>
      </c>
      <c r="AH16" s="435">
        <f t="shared" si="2"/>
        <v>45564</v>
      </c>
      <c r="AI16" s="435">
        <f t="shared" si="2"/>
        <v>45565</v>
      </c>
      <c r="AJ16" s="436">
        <f t="shared" si="2"/>
        <v>45566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35</v>
      </c>
      <c r="G17" s="207">
        <f t="shared" ref="G17:AJ17" si="3">WEEKNUM(G$16,21)</f>
        <v>36</v>
      </c>
      <c r="H17" s="207">
        <f t="shared" si="3"/>
        <v>36</v>
      </c>
      <c r="I17" s="207">
        <f t="shared" si="3"/>
        <v>36</v>
      </c>
      <c r="J17" s="207">
        <f t="shared" si="3"/>
        <v>36</v>
      </c>
      <c r="K17" s="207">
        <f t="shared" si="3"/>
        <v>36</v>
      </c>
      <c r="L17" s="207">
        <f t="shared" si="3"/>
        <v>36</v>
      </c>
      <c r="M17" s="207">
        <f t="shared" si="3"/>
        <v>36</v>
      </c>
      <c r="N17" s="207">
        <f t="shared" si="3"/>
        <v>37</v>
      </c>
      <c r="O17" s="207">
        <f t="shared" si="3"/>
        <v>37</v>
      </c>
      <c r="P17" s="207">
        <f t="shared" si="3"/>
        <v>37</v>
      </c>
      <c r="Q17" s="207">
        <f t="shared" si="3"/>
        <v>37</v>
      </c>
      <c r="R17" s="207">
        <f t="shared" si="3"/>
        <v>37</v>
      </c>
      <c r="S17" s="207">
        <f t="shared" si="3"/>
        <v>37</v>
      </c>
      <c r="T17" s="207">
        <f t="shared" si="3"/>
        <v>37</v>
      </c>
      <c r="U17" s="207">
        <f t="shared" si="3"/>
        <v>38</v>
      </c>
      <c r="V17" s="207">
        <f t="shared" si="3"/>
        <v>38</v>
      </c>
      <c r="W17" s="207">
        <f t="shared" si="3"/>
        <v>38</v>
      </c>
      <c r="X17" s="207">
        <f t="shared" si="3"/>
        <v>38</v>
      </c>
      <c r="Y17" s="207">
        <f t="shared" si="3"/>
        <v>38</v>
      </c>
      <c r="Z17" s="207">
        <f t="shared" si="3"/>
        <v>38</v>
      </c>
      <c r="AA17" s="207">
        <f t="shared" si="3"/>
        <v>38</v>
      </c>
      <c r="AB17" s="207">
        <f t="shared" si="3"/>
        <v>39</v>
      </c>
      <c r="AC17" s="207">
        <f t="shared" si="3"/>
        <v>39</v>
      </c>
      <c r="AD17" s="207">
        <f t="shared" si="3"/>
        <v>39</v>
      </c>
      <c r="AE17" s="207">
        <f t="shared" si="3"/>
        <v>39</v>
      </c>
      <c r="AF17" s="207">
        <f t="shared" si="3"/>
        <v>39</v>
      </c>
      <c r="AG17" s="207">
        <f t="shared" si="3"/>
        <v>39</v>
      </c>
      <c r="AH17" s="207">
        <f t="shared" si="3"/>
        <v>39</v>
      </c>
      <c r="AI17" s="207">
        <f t="shared" si="3"/>
        <v>40</v>
      </c>
      <c r="AJ17" s="208">
        <f t="shared" si="3"/>
        <v>40</v>
      </c>
      <c r="AK17" s="407"/>
      <c r="AL17" s="115" cm="1">
        <f t="array" ref="AL17">SUM(IF(FREQUENCY(F17:AJ17,F17:AJ17)&gt;0,1))</f>
        <v>6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45536</v>
      </c>
      <c r="G18" s="28">
        <f t="shared" ref="G18:AJ18" si="4">IF(G14,G16,0)</f>
        <v>45537</v>
      </c>
      <c r="H18" s="27">
        <f t="shared" si="4"/>
        <v>45538</v>
      </c>
      <c r="I18" s="27">
        <f t="shared" si="4"/>
        <v>45539</v>
      </c>
      <c r="J18" s="27">
        <f t="shared" si="4"/>
        <v>45540</v>
      </c>
      <c r="K18" s="27">
        <f t="shared" si="4"/>
        <v>45541</v>
      </c>
      <c r="L18" s="27">
        <f t="shared" si="4"/>
        <v>45542</v>
      </c>
      <c r="M18" s="27">
        <f t="shared" si="4"/>
        <v>45543</v>
      </c>
      <c r="N18" s="27">
        <f t="shared" si="4"/>
        <v>45544</v>
      </c>
      <c r="O18" s="27">
        <f t="shared" si="4"/>
        <v>45545</v>
      </c>
      <c r="P18" s="27">
        <f t="shared" si="4"/>
        <v>45546</v>
      </c>
      <c r="Q18" s="27">
        <f t="shared" si="4"/>
        <v>45547</v>
      </c>
      <c r="R18" s="27">
        <f t="shared" si="4"/>
        <v>45548</v>
      </c>
      <c r="S18" s="27">
        <f t="shared" si="4"/>
        <v>45549</v>
      </c>
      <c r="T18" s="27">
        <f t="shared" si="4"/>
        <v>45550</v>
      </c>
      <c r="U18" s="27">
        <f t="shared" si="4"/>
        <v>45551</v>
      </c>
      <c r="V18" s="27">
        <f t="shared" si="4"/>
        <v>45552</v>
      </c>
      <c r="W18" s="27">
        <f t="shared" si="4"/>
        <v>45553</v>
      </c>
      <c r="X18" s="27">
        <f t="shared" si="4"/>
        <v>45554</v>
      </c>
      <c r="Y18" s="27">
        <f t="shared" si="4"/>
        <v>45555</v>
      </c>
      <c r="Z18" s="27">
        <f t="shared" si="4"/>
        <v>45556</v>
      </c>
      <c r="AA18" s="27">
        <f t="shared" si="4"/>
        <v>45557</v>
      </c>
      <c r="AB18" s="27">
        <f t="shared" si="4"/>
        <v>45558</v>
      </c>
      <c r="AC18" s="27">
        <f t="shared" si="4"/>
        <v>45559</v>
      </c>
      <c r="AD18" s="27">
        <f t="shared" si="4"/>
        <v>45560</v>
      </c>
      <c r="AE18" s="27">
        <f t="shared" si="4"/>
        <v>45561</v>
      </c>
      <c r="AF18" s="27">
        <f t="shared" si="4"/>
        <v>45562</v>
      </c>
      <c r="AG18" s="27">
        <f t="shared" si="4"/>
        <v>45563</v>
      </c>
      <c r="AH18" s="27">
        <f t="shared" si="4"/>
        <v>45564</v>
      </c>
      <c r="AI18" s="202">
        <f t="shared" si="4"/>
        <v>45565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So</v>
      </c>
      <c r="G19" s="93" t="str">
        <f>IF(G14=1,TEXT(G$18,H_Label!$B$24&amp;"TTT"),0)</f>
        <v>Mo</v>
      </c>
      <c r="H19" s="93" t="str">
        <f>IF(H14=1,TEXT(H$18,H_Label!$B$24&amp;"TTT"),0)</f>
        <v>Di</v>
      </c>
      <c r="I19" s="93" t="str">
        <f>IF(I14=1,TEXT(I$18,H_Label!$B$24&amp;"TTT"),0)</f>
        <v>Mi</v>
      </c>
      <c r="J19" s="93" t="str">
        <f>IF(J14=1,TEXT(J$18,H_Label!$B$24&amp;"TTT"),0)</f>
        <v>Do</v>
      </c>
      <c r="K19" s="93" t="str">
        <f>IF(K14=1,TEXT(K$18,H_Label!$B$24&amp;"TTT"),0)</f>
        <v>Fr</v>
      </c>
      <c r="L19" s="93" t="str">
        <f>IF(L14=1,TEXT(L$18,H_Label!$B$24&amp;"TTT"),0)</f>
        <v>Sa</v>
      </c>
      <c r="M19" s="93" t="str">
        <f>IF(M14=1,TEXT(M$18,H_Label!$B$24&amp;"TTT"),0)</f>
        <v>So</v>
      </c>
      <c r="N19" s="93" t="str">
        <f>IF(N14=1,TEXT(N$18,H_Label!$B$24&amp;"TTT"),0)</f>
        <v>Mo</v>
      </c>
      <c r="O19" s="93" t="str">
        <f>IF(O14=1,TEXT(O$18,H_Label!$B$24&amp;"TTT"),0)</f>
        <v>Di</v>
      </c>
      <c r="P19" s="93" t="str">
        <f>IF(P14=1,TEXT(P$18,H_Label!$B$24&amp;"TTT"),0)</f>
        <v>Mi</v>
      </c>
      <c r="Q19" s="93" t="str">
        <f>IF(Q14=1,TEXT(Q$18,H_Label!$B$24&amp;"TTT"),0)</f>
        <v>Do</v>
      </c>
      <c r="R19" s="93" t="str">
        <f>IF(R14=1,TEXT(R$18,H_Label!$B$24&amp;"TTT"),0)</f>
        <v>Fr</v>
      </c>
      <c r="S19" s="93" t="str">
        <f>IF(S14=1,TEXT(S$18,H_Label!$B$24&amp;"TTT"),0)</f>
        <v>Sa</v>
      </c>
      <c r="T19" s="93" t="str">
        <f>IF(T14=1,TEXT(T$18,H_Label!$B$24&amp;"TTT"),0)</f>
        <v>So</v>
      </c>
      <c r="U19" s="93" t="str">
        <f>IF(U14=1,TEXT(U$18,H_Label!$B$24&amp;"TTT"),0)</f>
        <v>Mo</v>
      </c>
      <c r="V19" s="93" t="str">
        <f>IF(V14=1,TEXT(V$18,H_Label!$B$24&amp;"TTT"),0)</f>
        <v>Di</v>
      </c>
      <c r="W19" s="93" t="str">
        <f>IF(W14=1,TEXT(W$18,H_Label!$B$24&amp;"TTT"),0)</f>
        <v>Mi</v>
      </c>
      <c r="X19" s="93" t="str">
        <f>IF(X14=1,TEXT(X$18,H_Label!$B$24&amp;"TTT"),0)</f>
        <v>Do</v>
      </c>
      <c r="Y19" s="93" t="str">
        <f>IF(Y14=1,TEXT(Y$18,H_Label!$B$24&amp;"TTT"),0)</f>
        <v>Fr</v>
      </c>
      <c r="Z19" s="93" t="str">
        <f>IF(Z14=1,TEXT(Z$18,H_Label!$B$24&amp;"TTT"),0)</f>
        <v>Sa</v>
      </c>
      <c r="AA19" s="93" t="str">
        <f>IF(AA14=1,TEXT(AA$18,H_Label!$B$24&amp;"TTT"),0)</f>
        <v>So</v>
      </c>
      <c r="AB19" s="93" t="str">
        <f>IF(AB14=1,TEXT(AB$18,H_Label!$B$24&amp;"TTT"),0)</f>
        <v>Mo</v>
      </c>
      <c r="AC19" s="93" t="str">
        <f>IF(AC14=1,TEXT(AC$18,H_Label!$B$24&amp;"TTT"),0)</f>
        <v>Di</v>
      </c>
      <c r="AD19" s="93" t="str">
        <f>IF(AD14=1,TEXT(AD$18,H_Label!$B$24&amp;"TTT"),0)</f>
        <v>Mi</v>
      </c>
      <c r="AE19" s="93" t="str">
        <f>IF(AE14=1,TEXT(AE$18,H_Label!$B$24&amp;"TTT"),0)</f>
        <v>Do</v>
      </c>
      <c r="AF19" s="93" t="str">
        <f>IF(AF14=1,TEXT(AF$18,H_Label!$B$24&amp;"TTT"),0)</f>
        <v>Fr</v>
      </c>
      <c r="AG19" s="93" t="str">
        <f>IF(AG14=1,TEXT(AG$18,H_Label!$B$24&amp;"TTT"),0)</f>
        <v>Sa</v>
      </c>
      <c r="AH19" s="93" t="str">
        <f>IF(AH14=1,TEXT(AH$18,H_Label!$B$24&amp;"TTT"),0)</f>
        <v>So</v>
      </c>
      <c r="AI19" s="93" t="str">
        <f>IF(AI14=1,TEXT(AI$18,H_Label!$B$24&amp;"TTT"),0)</f>
        <v>Mo</v>
      </c>
      <c r="AJ19" s="93">
        <f>IF(AJ14=1,TEXT(AJ$18,H_Label!$B$24&amp;"TTT"),0)</f>
        <v>0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0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0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0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0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0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Okt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Okt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ZOBmPYWwg0oLOB5X5dG01s0OV0eZqeEqsck+ZyXXlalE1dAXJpFpaQ8oh28t1O9dPSop1A15428WjjpjZck/Dg==" saltValue="QhUpXV+kW4r7z9zqCei6D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6 F29:AJ29 F31:AJ32 F34:AJ48 F50:AJ51">
    <cfRule type="expression" dxfId="75" priority="17">
      <formula>F$21="ft"</formula>
    </cfRule>
  </conditionalFormatting>
  <conditionalFormatting sqref="F18:AJ21 F23:AJ27 F29:AJ32 F34:AJ48 F50:AJ51">
    <cfRule type="expression" dxfId="74" priority="8">
      <formula>AND(F$14=0,$B18=0)</formula>
    </cfRule>
  </conditionalFormatting>
  <conditionalFormatting sqref="F26:AJ27 F30:AJ30">
    <cfRule type="expression" dxfId="73" priority="10">
      <formula>OR(WEEKDAY(F$16,2)=7,F$15=2)</formula>
    </cfRule>
  </conditionalFormatting>
  <conditionalFormatting sqref="F34:AJ48 F50:AJ51 F18:AJ21 F23:AJ26 F29:AJ29 F31:AJ32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0:AJ51">
    <cfRule type="containsText" dxfId="70" priority="11" operator="containsText" text="x">
      <formula>NOT(ISERROR(SEARCH("x",F50)))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8" priority="2">
      <formula>H_fldFerienEndSaldo&lt;0</formula>
    </cfRule>
  </conditionalFormatting>
  <conditionalFormatting sqref="AG18:AJ21 AG23:AJ27 AG29:AJ32 AG34:AJ48 AG50:AJ51">
    <cfRule type="expression" dxfId="67" priority="6">
      <formula>AND(AG$14=0,$B18&lt;&gt;0)</formula>
    </cfRule>
    <cfRule type="expression" dxfId="66" priority="7">
      <formula>AG$15=2</formula>
    </cfRule>
  </conditionalFormatting>
  <conditionalFormatting sqref="AJ17:AJ21 AJ23:AJ27 AJ29:AJ32 AJ34:AJ48 AJ50:AJ51">
    <cfRule type="expression" dxfId="6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2600356C-87D1-411B-9017-0EA8D52AED12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39962CC2-C20D-4704-9649-70EC51734C7E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4FD6CE9-2756-4D0C-A189-AB9C430F569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64F676A8-7A4C-4583-9D5B-AAD4D889C570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98CC3880-EB3D-41AF-BD60-17C5E25C4492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CA88F42B-9116-4EB7-AE2F-310A0C68A9C1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105C1B2-2DA3-4BDA-ACEF-2BFED9FD195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496B5539-F2CA-43C4-B810-BCAEE06A9B81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F5201018-D8FE-46BB-8024-EF4D28F653CB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EDA8D3DD-F9DA-45ED-95F8-998384BF9415}">
      <formula1>-4000</formula1>
    </dataValidation>
  </dataValidations>
  <hyperlinks>
    <hyperlink ref="AJ12" location="Jahresauswertung!H3" display="." xr:uid="{47D1A85F-C16D-42BE-B304-6BFE74BA829C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055433-F332-48EC-AA7D-ED8647450453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823F8DCF-884C-4CAA-B718-28DDA6A61C35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B5DC-3DA0-4970-8254-874BFBF0089C}">
  <sheetPr codeName="m10okt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Oktober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45566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Oktober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-184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10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45566</v>
      </c>
      <c r="G16" s="431">
        <f>F$16+1</f>
        <v>45567</v>
      </c>
      <c r="H16" s="431">
        <f t="shared" ref="H16:AJ16" si="2">G$16+1</f>
        <v>45568</v>
      </c>
      <c r="I16" s="431">
        <f t="shared" si="2"/>
        <v>45569</v>
      </c>
      <c r="J16" s="431">
        <f t="shared" si="2"/>
        <v>45570</v>
      </c>
      <c r="K16" s="431">
        <f t="shared" si="2"/>
        <v>45571</v>
      </c>
      <c r="L16" s="432">
        <f t="shared" si="2"/>
        <v>45572</v>
      </c>
      <c r="M16" s="432">
        <f t="shared" si="2"/>
        <v>45573</v>
      </c>
      <c r="N16" s="433">
        <f t="shared" si="2"/>
        <v>45574</v>
      </c>
      <c r="O16" s="434">
        <f t="shared" si="2"/>
        <v>45575</v>
      </c>
      <c r="P16" s="434">
        <f t="shared" si="2"/>
        <v>45576</v>
      </c>
      <c r="Q16" s="434">
        <f t="shared" si="2"/>
        <v>45577</v>
      </c>
      <c r="R16" s="434">
        <f t="shared" si="2"/>
        <v>45578</v>
      </c>
      <c r="S16" s="434">
        <f t="shared" si="2"/>
        <v>45579</v>
      </c>
      <c r="T16" s="434">
        <f t="shared" si="2"/>
        <v>45580</v>
      </c>
      <c r="U16" s="434">
        <f t="shared" si="2"/>
        <v>45581</v>
      </c>
      <c r="V16" s="434">
        <f t="shared" si="2"/>
        <v>45582</v>
      </c>
      <c r="W16" s="434">
        <f t="shared" si="2"/>
        <v>45583</v>
      </c>
      <c r="X16" s="434">
        <f t="shared" si="2"/>
        <v>45584</v>
      </c>
      <c r="Y16" s="434">
        <f t="shared" si="2"/>
        <v>45585</v>
      </c>
      <c r="Z16" s="434">
        <f t="shared" si="2"/>
        <v>45586</v>
      </c>
      <c r="AA16" s="434">
        <f t="shared" si="2"/>
        <v>45587</v>
      </c>
      <c r="AB16" s="434">
        <f t="shared" si="2"/>
        <v>45588</v>
      </c>
      <c r="AC16" s="434">
        <f t="shared" si="2"/>
        <v>45589</v>
      </c>
      <c r="AD16" s="434">
        <f t="shared" si="2"/>
        <v>45590</v>
      </c>
      <c r="AE16" s="434">
        <f t="shared" si="2"/>
        <v>45591</v>
      </c>
      <c r="AF16" s="435">
        <f t="shared" si="2"/>
        <v>45592</v>
      </c>
      <c r="AG16" s="435">
        <f t="shared" si="2"/>
        <v>45593</v>
      </c>
      <c r="AH16" s="435">
        <f t="shared" si="2"/>
        <v>45594</v>
      </c>
      <c r="AI16" s="435">
        <f t="shared" si="2"/>
        <v>45595</v>
      </c>
      <c r="AJ16" s="436">
        <f t="shared" si="2"/>
        <v>45596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40</v>
      </c>
      <c r="G17" s="207">
        <f t="shared" ref="G17:AJ17" si="3">WEEKNUM(G$16,21)</f>
        <v>40</v>
      </c>
      <c r="H17" s="207">
        <f t="shared" si="3"/>
        <v>40</v>
      </c>
      <c r="I17" s="207">
        <f t="shared" si="3"/>
        <v>40</v>
      </c>
      <c r="J17" s="207">
        <f t="shared" si="3"/>
        <v>40</v>
      </c>
      <c r="K17" s="207">
        <f t="shared" si="3"/>
        <v>40</v>
      </c>
      <c r="L17" s="207">
        <f t="shared" si="3"/>
        <v>41</v>
      </c>
      <c r="M17" s="207">
        <f t="shared" si="3"/>
        <v>41</v>
      </c>
      <c r="N17" s="207">
        <f t="shared" si="3"/>
        <v>41</v>
      </c>
      <c r="O17" s="207">
        <f t="shared" si="3"/>
        <v>41</v>
      </c>
      <c r="P17" s="207">
        <f t="shared" si="3"/>
        <v>41</v>
      </c>
      <c r="Q17" s="207">
        <f t="shared" si="3"/>
        <v>41</v>
      </c>
      <c r="R17" s="207">
        <f t="shared" si="3"/>
        <v>41</v>
      </c>
      <c r="S17" s="207">
        <f t="shared" si="3"/>
        <v>42</v>
      </c>
      <c r="T17" s="207">
        <f t="shared" si="3"/>
        <v>42</v>
      </c>
      <c r="U17" s="207">
        <f t="shared" si="3"/>
        <v>42</v>
      </c>
      <c r="V17" s="207">
        <f t="shared" si="3"/>
        <v>42</v>
      </c>
      <c r="W17" s="207">
        <f t="shared" si="3"/>
        <v>42</v>
      </c>
      <c r="X17" s="207">
        <f t="shared" si="3"/>
        <v>42</v>
      </c>
      <c r="Y17" s="207">
        <f t="shared" si="3"/>
        <v>42</v>
      </c>
      <c r="Z17" s="207">
        <f t="shared" si="3"/>
        <v>43</v>
      </c>
      <c r="AA17" s="207">
        <f t="shared" si="3"/>
        <v>43</v>
      </c>
      <c r="AB17" s="207">
        <f t="shared" si="3"/>
        <v>43</v>
      </c>
      <c r="AC17" s="207">
        <f t="shared" si="3"/>
        <v>43</v>
      </c>
      <c r="AD17" s="207">
        <f t="shared" si="3"/>
        <v>43</v>
      </c>
      <c r="AE17" s="207">
        <f t="shared" si="3"/>
        <v>43</v>
      </c>
      <c r="AF17" s="207">
        <f t="shared" si="3"/>
        <v>43</v>
      </c>
      <c r="AG17" s="207">
        <f t="shared" si="3"/>
        <v>44</v>
      </c>
      <c r="AH17" s="207">
        <f t="shared" si="3"/>
        <v>44</v>
      </c>
      <c r="AI17" s="207">
        <f t="shared" si="3"/>
        <v>44</v>
      </c>
      <c r="AJ17" s="208">
        <f t="shared" si="3"/>
        <v>44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45566</v>
      </c>
      <c r="G18" s="28">
        <f t="shared" ref="G18:AJ18" si="4">IF(G14,G16,0)</f>
        <v>45567</v>
      </c>
      <c r="H18" s="27">
        <f t="shared" si="4"/>
        <v>45568</v>
      </c>
      <c r="I18" s="27">
        <f t="shared" si="4"/>
        <v>45569</v>
      </c>
      <c r="J18" s="27">
        <f t="shared" si="4"/>
        <v>45570</v>
      </c>
      <c r="K18" s="27">
        <f t="shared" si="4"/>
        <v>45571</v>
      </c>
      <c r="L18" s="27">
        <f t="shared" si="4"/>
        <v>45572</v>
      </c>
      <c r="M18" s="27">
        <f t="shared" si="4"/>
        <v>45573</v>
      </c>
      <c r="N18" s="27">
        <f t="shared" si="4"/>
        <v>45574</v>
      </c>
      <c r="O18" s="27">
        <f t="shared" si="4"/>
        <v>45575</v>
      </c>
      <c r="P18" s="27">
        <f t="shared" si="4"/>
        <v>45576</v>
      </c>
      <c r="Q18" s="27">
        <f t="shared" si="4"/>
        <v>45577</v>
      </c>
      <c r="R18" s="27">
        <f t="shared" si="4"/>
        <v>45578</v>
      </c>
      <c r="S18" s="27">
        <f t="shared" si="4"/>
        <v>45579</v>
      </c>
      <c r="T18" s="27">
        <f t="shared" si="4"/>
        <v>45580</v>
      </c>
      <c r="U18" s="27">
        <f t="shared" si="4"/>
        <v>45581</v>
      </c>
      <c r="V18" s="27">
        <f t="shared" si="4"/>
        <v>45582</v>
      </c>
      <c r="W18" s="27">
        <f t="shared" si="4"/>
        <v>45583</v>
      </c>
      <c r="X18" s="27">
        <f t="shared" si="4"/>
        <v>45584</v>
      </c>
      <c r="Y18" s="27">
        <f t="shared" si="4"/>
        <v>45585</v>
      </c>
      <c r="Z18" s="27">
        <f t="shared" si="4"/>
        <v>45586</v>
      </c>
      <c r="AA18" s="27">
        <f t="shared" si="4"/>
        <v>45587</v>
      </c>
      <c r="AB18" s="27">
        <f t="shared" si="4"/>
        <v>45588</v>
      </c>
      <c r="AC18" s="27">
        <f t="shared" si="4"/>
        <v>45589</v>
      </c>
      <c r="AD18" s="27">
        <f t="shared" si="4"/>
        <v>45590</v>
      </c>
      <c r="AE18" s="27">
        <f t="shared" si="4"/>
        <v>45591</v>
      </c>
      <c r="AF18" s="27">
        <f t="shared" si="4"/>
        <v>45592</v>
      </c>
      <c r="AG18" s="27">
        <f t="shared" si="4"/>
        <v>45593</v>
      </c>
      <c r="AH18" s="27">
        <f t="shared" si="4"/>
        <v>45594</v>
      </c>
      <c r="AI18" s="202">
        <f t="shared" si="4"/>
        <v>45595</v>
      </c>
      <c r="AJ18" s="202">
        <f t="shared" si="4"/>
        <v>45596</v>
      </c>
      <c r="AK18" s="408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Di</v>
      </c>
      <c r="G19" s="93" t="str">
        <f>IF(G14=1,TEXT(G$18,H_Label!$B$24&amp;"TTT"),0)</f>
        <v>Mi</v>
      </c>
      <c r="H19" s="93" t="str">
        <f>IF(H14=1,TEXT(H$18,H_Label!$B$24&amp;"TTT"),0)</f>
        <v>Do</v>
      </c>
      <c r="I19" s="93" t="str">
        <f>IF(I14=1,TEXT(I$18,H_Label!$B$24&amp;"TTT"),0)</f>
        <v>Fr</v>
      </c>
      <c r="J19" s="93" t="str">
        <f>IF(J14=1,TEXT(J$18,H_Label!$B$24&amp;"TTT"),0)</f>
        <v>Sa</v>
      </c>
      <c r="K19" s="93" t="str">
        <f>IF(K14=1,TEXT(K$18,H_Label!$B$24&amp;"TTT"),0)</f>
        <v>So</v>
      </c>
      <c r="L19" s="93" t="str">
        <f>IF(L14=1,TEXT(L$18,H_Label!$B$24&amp;"TTT"),0)</f>
        <v>Mo</v>
      </c>
      <c r="M19" s="93" t="str">
        <f>IF(M14=1,TEXT(M$18,H_Label!$B$24&amp;"TTT"),0)</f>
        <v>Di</v>
      </c>
      <c r="N19" s="93" t="str">
        <f>IF(N14=1,TEXT(N$18,H_Label!$B$24&amp;"TTT"),0)</f>
        <v>Mi</v>
      </c>
      <c r="O19" s="93" t="str">
        <f>IF(O14=1,TEXT(O$18,H_Label!$B$24&amp;"TTT"),0)</f>
        <v>Do</v>
      </c>
      <c r="P19" s="93" t="str">
        <f>IF(P14=1,TEXT(P$18,H_Label!$B$24&amp;"TTT"),0)</f>
        <v>Fr</v>
      </c>
      <c r="Q19" s="93" t="str">
        <f>IF(Q14=1,TEXT(Q$18,H_Label!$B$24&amp;"TTT"),0)</f>
        <v>Sa</v>
      </c>
      <c r="R19" s="93" t="str">
        <f>IF(R14=1,TEXT(R$18,H_Label!$B$24&amp;"TTT"),0)</f>
        <v>So</v>
      </c>
      <c r="S19" s="93" t="str">
        <f>IF(S14=1,TEXT(S$18,H_Label!$B$24&amp;"TTT"),0)</f>
        <v>Mo</v>
      </c>
      <c r="T19" s="93" t="str">
        <f>IF(T14=1,TEXT(T$18,H_Label!$B$24&amp;"TTT"),0)</f>
        <v>Di</v>
      </c>
      <c r="U19" s="93" t="str">
        <f>IF(U14=1,TEXT(U$18,H_Label!$B$24&amp;"TTT"),0)</f>
        <v>Mi</v>
      </c>
      <c r="V19" s="93" t="str">
        <f>IF(V14=1,TEXT(V$18,H_Label!$B$24&amp;"TTT"),0)</f>
        <v>Do</v>
      </c>
      <c r="W19" s="93" t="str">
        <f>IF(W14=1,TEXT(W$18,H_Label!$B$24&amp;"TTT"),0)</f>
        <v>Fr</v>
      </c>
      <c r="X19" s="93" t="str">
        <f>IF(X14=1,TEXT(X$18,H_Label!$B$24&amp;"TTT"),0)</f>
        <v>Sa</v>
      </c>
      <c r="Y19" s="93" t="str">
        <f>IF(Y14=1,TEXT(Y$18,H_Label!$B$24&amp;"TTT"),0)</f>
        <v>So</v>
      </c>
      <c r="Z19" s="93" t="str">
        <f>IF(Z14=1,TEXT(Z$18,H_Label!$B$24&amp;"TTT"),0)</f>
        <v>Mo</v>
      </c>
      <c r="AA19" s="93" t="str">
        <f>IF(AA14=1,TEXT(AA$18,H_Label!$B$24&amp;"TTT"),0)</f>
        <v>Di</v>
      </c>
      <c r="AB19" s="93" t="str">
        <f>IF(AB14=1,TEXT(AB$18,H_Label!$B$24&amp;"TTT"),0)</f>
        <v>Mi</v>
      </c>
      <c r="AC19" s="93" t="str">
        <f>IF(AC14=1,TEXT(AC$18,H_Label!$B$24&amp;"TTT"),0)</f>
        <v>Do</v>
      </c>
      <c r="AD19" s="93" t="str">
        <f>IF(AD14=1,TEXT(AD$18,H_Label!$B$24&amp;"TTT"),0)</f>
        <v>Fr</v>
      </c>
      <c r="AE19" s="93" t="str">
        <f>IF(AE14=1,TEXT(AE$18,H_Label!$B$24&amp;"TTT"),0)</f>
        <v>Sa</v>
      </c>
      <c r="AF19" s="93" t="str">
        <f>IF(AF14=1,TEXT(AF$18,H_Label!$B$24&amp;"TTT"),0)</f>
        <v>So</v>
      </c>
      <c r="AG19" s="93" t="str">
        <f>IF(AG14=1,TEXT(AG$18,H_Label!$B$24&amp;"TTT"),0)</f>
        <v>Mo</v>
      </c>
      <c r="AH19" s="93" t="str">
        <f>IF(AH14=1,TEXT(AH$18,H_Label!$B$24&amp;"TTT"),0)</f>
        <v>Di</v>
      </c>
      <c r="AI19" s="93" t="str">
        <f>IF(AI14=1,TEXT(AI$18,H_Label!$B$24&amp;"TTT"),0)</f>
        <v>Mi</v>
      </c>
      <c r="AJ19" s="93" t="str">
        <f>IF(AJ14=1,TEXT(AJ$18,H_Label!$B$24&amp;"TTT"),0)</f>
        <v>Do</v>
      </c>
      <c r="AK19" s="409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0</v>
      </c>
      <c r="K20" s="26" cm="1">
        <f t="array" ref="K20">IF(OR(K14=0,K51="x"),0,A_fldSollTagStd*SUMPRODUCT((H_tblBGTage=WEEKDAY(K16,2))*(H_tblBGMnt=M_Monat)*H_tblBG%))</f>
        <v>0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0</v>
      </c>
      <c r="R20" s="26" cm="1">
        <f t="array" ref="R20">IF(OR(R14=0,R51="x"),0,A_fldSollTagStd*SUMPRODUCT((H_tblBGTage=WEEKDAY(R16,2))*(H_tblBGMnt=M_Monat)*H_tblBG%))</f>
        <v>0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0</v>
      </c>
      <c r="Y20" s="26" cm="1">
        <f t="array" ref="Y20">IF(OR(Y14=0,Y51="x"),0,A_fldSollTagStd*SUMPRODUCT((H_tblBGTage=WEEKDAY(Y16,2))*(H_tblBGMnt=M_Monat)*H_tblBG%))</f>
        <v>0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0</v>
      </c>
      <c r="AF20" s="26" cm="1">
        <f t="array" ref="AF20">IF(OR(AF14=0,AF51="x"),0,A_fldSollTagStd*SUMPRODUCT((H_tblBGTage=WEEKDAY(AF16,2))*(H_tblBGMnt=M_Monat)*H_tblBG%))</f>
        <v>0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Nov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Nov</v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23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MmDpWpt97tdyLCprs/lqmMOjFOcibsL59Hyz0ajwK3nfh23o1PfjP4Fte1cBq3904SgRmy1M72WgYBo1oGWuZg==" saltValue="vtHJHw+iEEjULZ+033Cdx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6 F29:AJ29 F31:AJ32 F34:AJ48 F50:AJ51">
    <cfRule type="expression" dxfId="57" priority="17">
      <formula>F$21="ft"</formula>
    </cfRule>
  </conditionalFormatting>
  <conditionalFormatting sqref="F18:AJ21 F23:AJ27 F29:AJ32 F34:AJ48 F50:AJ51">
    <cfRule type="expression" dxfId="56" priority="8">
      <formula>AND(F$14=0,$B18=0)</formula>
    </cfRule>
  </conditionalFormatting>
  <conditionalFormatting sqref="F26:AJ27 F30:AJ30">
    <cfRule type="expression" dxfId="55" priority="10">
      <formula>OR(WEEKDAY(F$16,2)=7,F$15=2)</formula>
    </cfRule>
  </conditionalFormatting>
  <conditionalFormatting sqref="F34:AJ48 F50:AJ51 F18:AJ21 F23:AJ26 F29:AJ29 F31:AJ32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0:AJ51">
    <cfRule type="containsText" dxfId="52" priority="11" operator="containsText" text="x">
      <formula>NOT(ISERROR(SEARCH("x",F50)))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50" priority="2">
      <formula>H_fldFerienEndSaldo&lt;0</formula>
    </cfRule>
  </conditionalFormatting>
  <conditionalFormatting sqref="AG18:AJ21 AG23:AJ27 AG29:AJ32 AG34:AJ48 AG50:AJ51">
    <cfRule type="expression" dxfId="49" priority="6">
      <formula>AND(AG$14=0,$B18&lt;&gt;0)</formula>
    </cfRule>
    <cfRule type="expression" dxfId="48" priority="7">
      <formula>AG$15=2</formula>
    </cfRule>
  </conditionalFormatting>
  <conditionalFormatting sqref="AJ17:AJ21 AJ23:AJ27 AJ29:AJ32 AJ34:AJ48 AJ50:AJ51">
    <cfRule type="expression" dxfId="4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C00154B5-1321-4C23-88D1-DBBD0F98C9F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7236F784-F51E-4B44-B126-F7F3751E3433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7A22B52B-AB4E-4E46-9300-C3528644C32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CC5AD917-BB1D-4EFE-8119-42E9A07A6FDD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833EC246-E75A-4C50-9FBE-00B1FB9A78AF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79FDE65-4EB2-4176-AB0E-9F07CC6952FE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631D278-99D3-4F45-B0FA-E0C804E7950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C06BA91D-E241-4DD8-B052-13BA4960C26D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B3B9BCCB-D322-4F7B-9F9A-B030994262ED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844F754A-B9E2-4A31-A90A-D0F8285A6A9A}">
      <formula1>-4000</formula1>
    </dataValidation>
  </dataValidations>
  <hyperlinks>
    <hyperlink ref="AJ12" location="Jahresauswertung!H3" display="." xr:uid="{29350F06-409F-4BDE-9B27-D6BFF72031D1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DE62EB-049A-478A-9AC9-C4B35D3D2B22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F4B2BB26-4E4B-4C56-B9A6-B4122FEE784A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h01cal">
    <tabColor theme="0" tint="-4.9989318521683403E-2"/>
  </sheetPr>
  <dimension ref="A2:AC393"/>
  <sheetViews>
    <sheetView zoomScale="80" zoomScaleNormal="80" workbookViewId="0">
      <pane ySplit="9" topLeftCell="A10" activePane="bottomLeft" state="frozen"/>
      <selection activeCell="K13" sqref="K13:M13"/>
      <selection pane="bottomLeft" activeCell="K13" sqref="K13:M13"/>
    </sheetView>
  </sheetViews>
  <sheetFormatPr baseColWidth="10" defaultColWidth="10.85546875" defaultRowHeight="12.75" x14ac:dyDescent="0.2"/>
  <cols>
    <col min="1" max="2" width="3.140625" style="217" customWidth="1"/>
    <col min="3" max="3" width="9.140625" style="129" bestFit="1" customWidth="1"/>
    <col min="4" max="4" width="12.42578125" style="189" customWidth="1"/>
    <col min="5" max="5" width="11.7109375" style="129" customWidth="1"/>
    <col min="6" max="6" width="9.140625" style="129" customWidth="1"/>
    <col min="7" max="7" width="11.42578125" style="129" customWidth="1"/>
    <col min="8" max="11" width="10.85546875" style="129"/>
    <col min="12" max="12" width="11.140625" style="189" customWidth="1"/>
    <col min="13" max="13" width="10.7109375" style="189" customWidth="1"/>
    <col min="14" max="14" width="13.42578125" style="129" customWidth="1"/>
    <col min="15" max="15" width="12.85546875" style="189" customWidth="1"/>
    <col min="16" max="17" width="10.85546875" style="189"/>
    <col min="18" max="18" width="11.140625" style="189" customWidth="1"/>
    <col min="19" max="21" width="10.85546875" style="189"/>
    <col min="22" max="29" width="10.85546875" style="129"/>
    <col min="30" max="16384" width="10.85546875" style="189"/>
  </cols>
  <sheetData>
    <row r="2" spans="3:29" s="188" customFormat="1" ht="32.1" customHeight="1" thickBot="1" x14ac:dyDescent="0.25">
      <c r="C2" s="211" t="s">
        <v>116</v>
      </c>
      <c r="D2" s="212"/>
      <c r="E2" s="213"/>
      <c r="F2" s="212">
        <f>IF(AA2,AA2,A_Jahr)</f>
        <v>2024</v>
      </c>
      <c r="G2" s="214"/>
      <c r="H2" s="215" t="str">
        <f>IF(ISERROR(DATEVALUE(TEXT("01.01."&amp;F2,"TT.MM.JJ"))),"01/01/"&amp;F2,"01.01."&amp;F2)</f>
        <v>01.01.2024</v>
      </c>
      <c r="I2" s="216">
        <f>DATE(YEAR($H$2),MONTH($H$2),DAY($H$2))</f>
        <v>45292</v>
      </c>
      <c r="J2" s="214"/>
      <c r="K2" s="215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5"/>
      <c r="W2" s="215"/>
      <c r="X2" s="284" t="s">
        <v>117</v>
      </c>
      <c r="Y2" s="285"/>
      <c r="Z2" s="286" t="s">
        <v>118</v>
      </c>
      <c r="AA2" s="597"/>
      <c r="AB2" s="597"/>
      <c r="AC2" s="285"/>
    </row>
    <row r="3" spans="3:29" s="221" customFormat="1" ht="15" customHeight="1" x14ac:dyDescent="0.2">
      <c r="C3" s="598" t="s">
        <v>119</v>
      </c>
      <c r="D3" s="598"/>
      <c r="E3" s="222">
        <f>A_fldSollTagStd</f>
        <v>8</v>
      </c>
      <c r="F3" s="223" t="s">
        <v>120</v>
      </c>
      <c r="G3" s="224"/>
      <c r="H3" s="598" t="s">
        <v>121</v>
      </c>
      <c r="I3" s="598"/>
      <c r="J3" s="225">
        <f>A_fldNettoAT</f>
        <v>262</v>
      </c>
      <c r="K3" s="223" t="s">
        <v>8</v>
      </c>
      <c r="L3" s="227" t="s">
        <v>122</v>
      </c>
      <c r="M3" s="599" t="s">
        <v>123</v>
      </c>
      <c r="N3" s="599"/>
      <c r="O3" s="225">
        <f>$E$3*$J$3</f>
        <v>2096</v>
      </c>
      <c r="P3" s="223" t="s">
        <v>124</v>
      </c>
      <c r="Q3" s="226"/>
      <c r="R3" s="226"/>
      <c r="S3" s="226"/>
      <c r="T3" s="226"/>
      <c r="U3" s="226"/>
      <c r="V3" s="225"/>
      <c r="W3" s="225"/>
      <c r="X3" s="225"/>
      <c r="Y3" s="225"/>
      <c r="Z3" s="225"/>
      <c r="AA3" s="225"/>
      <c r="AB3" s="225"/>
      <c r="AC3" s="225"/>
    </row>
    <row r="4" spans="3:29" s="218" customFormat="1" x14ac:dyDescent="0.2">
      <c r="C4" s="238"/>
      <c r="D4" s="239"/>
      <c r="E4" s="239"/>
      <c r="F4" s="239"/>
      <c r="G4" s="240"/>
      <c r="H4" s="239"/>
      <c r="I4" s="239"/>
      <c r="J4" s="239"/>
      <c r="K4" s="239"/>
      <c r="L4" s="227" t="s">
        <v>122</v>
      </c>
      <c r="M4" s="599" t="s">
        <v>125</v>
      </c>
      <c r="N4" s="599"/>
      <c r="O4" s="241">
        <f>SUM(H_dSollBG)</f>
        <v>2096</v>
      </c>
      <c r="P4" s="238" t="s">
        <v>124</v>
      </c>
      <c r="Q4" s="239"/>
      <c r="R4" s="239"/>
      <c r="S4" s="239"/>
      <c r="T4" s="239"/>
      <c r="U4" s="239"/>
      <c r="V4" s="241"/>
      <c r="W4" s="241"/>
      <c r="X4" s="567" t="s">
        <v>765</v>
      </c>
      <c r="Y4" s="241"/>
      <c r="Z4" s="241"/>
      <c r="AA4" s="241"/>
      <c r="AB4" s="241"/>
      <c r="AC4" s="241"/>
    </row>
    <row r="5" spans="3:29" s="218" customFormat="1" x14ac:dyDescent="0.2">
      <c r="C5" s="210"/>
      <c r="G5" s="219"/>
      <c r="N5" s="129"/>
      <c r="V5" s="129"/>
      <c r="W5" s="129"/>
      <c r="X5" s="129"/>
      <c r="Y5" s="129"/>
      <c r="Z5" s="129"/>
      <c r="AA5" s="129"/>
      <c r="AB5" s="129"/>
      <c r="AC5" s="129"/>
    </row>
    <row r="6" spans="3:29" s="218" customFormat="1" x14ac:dyDescent="0.2">
      <c r="C6" s="210"/>
      <c r="G6" s="219"/>
      <c r="N6" s="129"/>
      <c r="V6" s="129"/>
      <c r="W6" s="129"/>
      <c r="X6" s="129"/>
      <c r="Y6" s="129"/>
      <c r="Z6" s="129"/>
      <c r="AA6" s="129"/>
      <c r="AB6" s="129"/>
      <c r="AC6" s="129"/>
    </row>
    <row r="7" spans="3:29" s="218" customFormat="1" x14ac:dyDescent="0.2">
      <c r="C7" s="210"/>
      <c r="G7" s="219"/>
      <c r="L7" s="556"/>
      <c r="M7" s="556"/>
      <c r="N7" s="129"/>
      <c r="S7" s="556"/>
      <c r="T7" s="556"/>
      <c r="V7" s="129"/>
      <c r="W7" s="129"/>
      <c r="X7" s="129"/>
      <c r="Y7" s="129"/>
      <c r="Z7" s="129"/>
      <c r="AA7" s="129"/>
      <c r="AB7" s="129"/>
      <c r="AC7" s="129"/>
    </row>
    <row r="8" spans="3:29" s="218" customFormat="1" x14ac:dyDescent="0.2"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</row>
    <row r="9" spans="3:29" s="198" customFormat="1" ht="45.6" customHeight="1" x14ac:dyDescent="0.2">
      <c r="C9" s="228" t="s">
        <v>126</v>
      </c>
      <c r="D9" s="229" t="s">
        <v>127</v>
      </c>
      <c r="E9" s="228" t="s">
        <v>128</v>
      </c>
      <c r="F9" s="228" t="s">
        <v>87</v>
      </c>
      <c r="G9" s="228" t="s">
        <v>129</v>
      </c>
      <c r="H9" s="228" t="s">
        <v>130</v>
      </c>
      <c r="I9" s="228" t="s">
        <v>131</v>
      </c>
      <c r="J9" s="228" t="s">
        <v>82</v>
      </c>
      <c r="K9" s="228" t="s">
        <v>132</v>
      </c>
      <c r="L9" s="228" t="s">
        <v>133</v>
      </c>
      <c r="M9" s="228" t="s">
        <v>134</v>
      </c>
      <c r="N9" s="230" t="s">
        <v>135</v>
      </c>
      <c r="O9" s="230" t="s">
        <v>136</v>
      </c>
      <c r="P9" s="230" t="s">
        <v>137</v>
      </c>
      <c r="Q9" s="230" t="s">
        <v>138</v>
      </c>
      <c r="R9" s="230" t="s">
        <v>139</v>
      </c>
      <c r="S9" s="230" t="s">
        <v>140</v>
      </c>
      <c r="T9" s="230" t="s">
        <v>141</v>
      </c>
      <c r="U9" s="230" t="s">
        <v>142</v>
      </c>
      <c r="V9" s="230" t="s">
        <v>143</v>
      </c>
      <c r="W9" s="230" t="s">
        <v>144</v>
      </c>
      <c r="X9" s="230" t="s">
        <v>145</v>
      </c>
      <c r="Y9" s="230" t="s">
        <v>146</v>
      </c>
      <c r="Z9" s="230" t="s">
        <v>147</v>
      </c>
      <c r="AA9" s="230" t="s">
        <v>148</v>
      </c>
      <c r="AB9" s="230" t="s">
        <v>149</v>
      </c>
      <c r="AC9" s="230" t="s">
        <v>150</v>
      </c>
    </row>
    <row r="10" spans="3:29" x14ac:dyDescent="0.2">
      <c r="C10" s="129">
        <v>1</v>
      </c>
      <c r="D10" s="190">
        <f>I2</f>
        <v>45292</v>
      </c>
      <c r="E10" s="129">
        <f>MONTH(D10)</f>
        <v>1</v>
      </c>
      <c r="F10" s="191">
        <f>D10</f>
        <v>45292</v>
      </c>
      <c r="G10" s="129">
        <f>_xlfn.ISOWEEKNUM(D10)</f>
        <v>1</v>
      </c>
      <c r="H10" s="129">
        <f>DAY(D10)</f>
        <v>1</v>
      </c>
      <c r="I10" s="129">
        <f>WEEKDAY(D10,2)</f>
        <v>1</v>
      </c>
      <c r="J10" s="192">
        <f>D10</f>
        <v>45292</v>
      </c>
      <c r="K10" s="129" t="str" cm="1">
        <f t="array" ref="K10">IF(AND(I10&lt;7,INDEX(B_tblFTMatrix,$E10,$H10)="x"),"ft","")</f>
        <v/>
      </c>
      <c r="L10" s="220"/>
      <c r="M10" s="129"/>
      <c r="N10" s="129">
        <f t="shared" ref="N10:N73" si="0">IF(I10&lt;6,1,0)</f>
        <v>1</v>
      </c>
      <c r="O10" s="129">
        <f>IF(AND(L10&lt;&gt;"x",N10),1,0)</f>
        <v>1</v>
      </c>
      <c r="P10" s="231">
        <f t="shared" ref="P10:P73" si="1">IFERROR($E$3*N10,0)</f>
        <v>8</v>
      </c>
      <c r="Q10" s="232" cm="1">
        <f t="array" ref="Q10">SUMPRODUCT((H_tblBGTage=I10)*(H_tblBGMnt=E10)*H_tblBG%)</f>
        <v>1</v>
      </c>
      <c r="R10" s="231">
        <f>IFERROR(P10*Q10,0)</f>
        <v>8</v>
      </c>
      <c r="S10" s="237"/>
      <c r="T10" s="237"/>
      <c r="U10" s="236" cm="1">
        <f t="array" ref="U10">SUMPRODUCT((JAN!M_Verweiszeile=$H10)*JAN!M_ProdTag*(JAN!M_Monat=$E10))</f>
        <v>0</v>
      </c>
      <c r="V10" s="236" cm="1">
        <f t="array" ref="V10">SUMPRODUCT((JAN!M_Verweiszeile=$H10)*JAN!M_ProdN1*(JAN!M_Monat=$E10))</f>
        <v>0</v>
      </c>
      <c r="W10" s="236" cm="1">
        <f t="array" ref="W10">SUMPRODUCT((JAN!M_Verweiszeile=$H10)*JAN!M_ProdN2*(JAN!M_Monat=$E10))</f>
        <v>0</v>
      </c>
      <c r="X10" s="236">
        <f>SUM(U10:W10)</f>
        <v>0</v>
      </c>
      <c r="Y10" s="236">
        <f t="shared" ref="Y10:Y73" si="2">IFERROR(IF($K10="ft",R10,0),0)</f>
        <v>0</v>
      </c>
      <c r="Z10" s="287">
        <f t="shared" ref="Z10:Z73" si="3">SUM(V10:W10)*A_fldZ2</f>
        <v>0</v>
      </c>
      <c r="AA10" s="236">
        <f>IF(OR(I10=7,K10="ft"),X10,0)</f>
        <v>0</v>
      </c>
      <c r="AB10" s="236">
        <f>SUM(Y10:AA10)</f>
        <v>0</v>
      </c>
      <c r="AC10" s="236">
        <f>X10+AB10</f>
        <v>0</v>
      </c>
    </row>
    <row r="11" spans="3:29" x14ac:dyDescent="0.2">
      <c r="C11" s="129">
        <v>2</v>
      </c>
      <c r="D11" s="190">
        <f>D10+1</f>
        <v>45293</v>
      </c>
      <c r="E11" s="129">
        <f t="shared" ref="E11:E74" si="4">MONTH(D11)</f>
        <v>1</v>
      </c>
      <c r="F11" s="191">
        <f t="shared" ref="F11:F74" si="5">D11</f>
        <v>45293</v>
      </c>
      <c r="G11" s="129">
        <f t="shared" ref="G11:G74" si="6">_xlfn.ISOWEEKNUM(D11)</f>
        <v>1</v>
      </c>
      <c r="H11" s="129">
        <f t="shared" ref="H11:H74" si="7">DAY(D11)</f>
        <v>2</v>
      </c>
      <c r="I11" s="129">
        <f t="shared" ref="I11:I74" si="8">WEEKDAY(D11,2)</f>
        <v>2</v>
      </c>
      <c r="J11" s="192">
        <f t="shared" ref="J11:J74" si="9">D11</f>
        <v>45293</v>
      </c>
      <c r="K11" s="129" t="str" cm="1">
        <f t="array" ref="K11">IF(AND(I11&lt;7,INDEX(B_tblFTMatrix,$E11,$H11)="x"),"ft","")</f>
        <v/>
      </c>
      <c r="L11" s="129"/>
      <c r="M11" s="129"/>
      <c r="N11" s="129">
        <f t="shared" si="0"/>
        <v>1</v>
      </c>
      <c r="O11" s="129">
        <f t="shared" ref="O11:O74" si="10">IF(AND(L11&lt;&gt;"x",N11),1,0)</f>
        <v>1</v>
      </c>
      <c r="P11" s="231">
        <f t="shared" si="1"/>
        <v>8</v>
      </c>
      <c r="Q11" s="232" cm="1">
        <f t="array" ref="Q11">SUMPRODUCT((H_tblBGTage=I11)*(H_tblBGMnt=E11)*H_tblBG%)</f>
        <v>1</v>
      </c>
      <c r="R11" s="231">
        <f t="shared" ref="R11:R74" si="11">IFERROR(P11*Q11,0)</f>
        <v>8</v>
      </c>
      <c r="S11" s="237"/>
      <c r="T11" s="237"/>
      <c r="U11" s="236" cm="1">
        <f t="array" ref="U11">SUMPRODUCT((JAN!M_Verweiszeile=$H11)*JAN!M_ProdTag*(JAN!M_Monat=$E11))</f>
        <v>0</v>
      </c>
      <c r="V11" s="236" cm="1">
        <f t="array" ref="V11">SUMPRODUCT((JAN!M_Verweiszeile=$H11)*JAN!M_ProdN1*(JAN!M_Monat=$E11))</f>
        <v>0</v>
      </c>
      <c r="W11" s="236" cm="1">
        <f t="array" ref="W11">SUMPRODUCT((JAN!M_Verweiszeile=$H11)*JAN!M_ProdN2*(JAN!M_Monat=$E11))</f>
        <v>0</v>
      </c>
      <c r="X11" s="236">
        <f t="shared" ref="X11:X74" si="12">SUM(U11:W11)</f>
        <v>0</v>
      </c>
      <c r="Y11" s="236">
        <f t="shared" si="2"/>
        <v>0</v>
      </c>
      <c r="Z11" s="236">
        <f t="shared" si="3"/>
        <v>0</v>
      </c>
      <c r="AA11" s="236">
        <f t="shared" ref="AA11:AA74" si="13">IF(OR(I11=7,K11="ft"),X11,0)</f>
        <v>0</v>
      </c>
      <c r="AB11" s="236">
        <f t="shared" ref="AB11:AB74" si="14">SUM(Y11:AA11)</f>
        <v>0</v>
      </c>
      <c r="AC11" s="236">
        <f t="shared" ref="AC11:AC74" si="15">X11+AB11</f>
        <v>0</v>
      </c>
    </row>
    <row r="12" spans="3:29" x14ac:dyDescent="0.2">
      <c r="C12" s="129">
        <v>3</v>
      </c>
      <c r="D12" s="190">
        <f t="shared" ref="D12:D75" si="16">D11+1</f>
        <v>45294</v>
      </c>
      <c r="E12" s="129">
        <f t="shared" si="4"/>
        <v>1</v>
      </c>
      <c r="F12" s="191">
        <f t="shared" si="5"/>
        <v>45294</v>
      </c>
      <c r="G12" s="129">
        <f t="shared" si="6"/>
        <v>1</v>
      </c>
      <c r="H12" s="129">
        <f t="shared" si="7"/>
        <v>3</v>
      </c>
      <c r="I12" s="129">
        <f t="shared" si="8"/>
        <v>3</v>
      </c>
      <c r="J12" s="192">
        <f t="shared" si="9"/>
        <v>45294</v>
      </c>
      <c r="K12" s="129" t="str" cm="1">
        <f t="array" ref="K12">IF(AND(I12&lt;7,INDEX(B_tblFTMatrix,$E12,$H12)="x"),"ft","")</f>
        <v/>
      </c>
      <c r="L12" s="129"/>
      <c r="M12" s="129"/>
      <c r="N12" s="129">
        <f t="shared" si="0"/>
        <v>1</v>
      </c>
      <c r="O12" s="129">
        <f t="shared" si="10"/>
        <v>1</v>
      </c>
      <c r="P12" s="231">
        <f t="shared" si="1"/>
        <v>8</v>
      </c>
      <c r="Q12" s="232" cm="1">
        <f t="array" ref="Q12">SUMPRODUCT((H_tblBGTage=I12)*(H_tblBGMnt=E12)*H_tblBG%)</f>
        <v>1</v>
      </c>
      <c r="R12" s="231">
        <f t="shared" si="11"/>
        <v>8</v>
      </c>
      <c r="S12" s="237"/>
      <c r="T12" s="237"/>
      <c r="U12" s="236" cm="1">
        <f t="array" ref="U12">SUMPRODUCT((JAN!M_Verweiszeile=$H12)*JAN!M_ProdTag*(JAN!M_Monat=$E12))</f>
        <v>0</v>
      </c>
      <c r="V12" s="236" cm="1">
        <f t="array" ref="V12">SUMPRODUCT((JAN!M_Verweiszeile=$H12)*JAN!M_ProdN1*(JAN!M_Monat=$E12))</f>
        <v>0</v>
      </c>
      <c r="W12" s="236" cm="1">
        <f t="array" ref="W12">SUMPRODUCT((JAN!M_Verweiszeile=$H12)*JAN!M_ProdN2*(JAN!M_Monat=$E12))</f>
        <v>0</v>
      </c>
      <c r="X12" s="236">
        <f t="shared" si="12"/>
        <v>0</v>
      </c>
      <c r="Y12" s="236">
        <f t="shared" si="2"/>
        <v>0</v>
      </c>
      <c r="Z12" s="236">
        <f t="shared" si="3"/>
        <v>0</v>
      </c>
      <c r="AA12" s="236">
        <f t="shared" si="13"/>
        <v>0</v>
      </c>
      <c r="AB12" s="236">
        <f t="shared" si="14"/>
        <v>0</v>
      </c>
      <c r="AC12" s="236">
        <f t="shared" si="15"/>
        <v>0</v>
      </c>
    </row>
    <row r="13" spans="3:29" x14ac:dyDescent="0.2">
      <c r="C13" s="129">
        <v>4</v>
      </c>
      <c r="D13" s="190">
        <f t="shared" si="16"/>
        <v>45295</v>
      </c>
      <c r="E13" s="129">
        <f t="shared" si="4"/>
        <v>1</v>
      </c>
      <c r="F13" s="191">
        <f t="shared" si="5"/>
        <v>45295</v>
      </c>
      <c r="G13" s="129">
        <f t="shared" si="6"/>
        <v>1</v>
      </c>
      <c r="H13" s="129">
        <f t="shared" si="7"/>
        <v>4</v>
      </c>
      <c r="I13" s="129">
        <f t="shared" si="8"/>
        <v>4</v>
      </c>
      <c r="J13" s="192">
        <f t="shared" si="9"/>
        <v>45295</v>
      </c>
      <c r="K13" s="129" t="str" cm="1">
        <f t="array" ref="K13">IF(AND(I13&lt;7,INDEX(B_tblFTMatrix,$E13,$H13)="x"),"ft","")</f>
        <v/>
      </c>
      <c r="L13" s="129"/>
      <c r="M13" s="129"/>
      <c r="N13" s="129">
        <f t="shared" si="0"/>
        <v>1</v>
      </c>
      <c r="O13" s="129">
        <f t="shared" si="10"/>
        <v>1</v>
      </c>
      <c r="P13" s="231">
        <f t="shared" si="1"/>
        <v>8</v>
      </c>
      <c r="Q13" s="232" cm="1">
        <f t="array" ref="Q13">SUMPRODUCT((H_tblBGTage=I13)*(H_tblBGMnt=E13)*H_tblBG%)</f>
        <v>1</v>
      </c>
      <c r="R13" s="231">
        <f t="shared" si="11"/>
        <v>8</v>
      </c>
      <c r="S13" s="237"/>
      <c r="T13" s="237"/>
      <c r="U13" s="236" cm="1">
        <f t="array" ref="U13">SUMPRODUCT((JAN!M_Verweiszeile=$H13)*JAN!M_ProdTag*(JAN!M_Monat=$E13))</f>
        <v>0</v>
      </c>
      <c r="V13" s="236" cm="1">
        <f t="array" ref="V13">SUMPRODUCT((JAN!M_Verweiszeile=$H13)*JAN!M_ProdN1*(JAN!M_Monat=$E13))</f>
        <v>0</v>
      </c>
      <c r="W13" s="236" cm="1">
        <f t="array" ref="W13">SUMPRODUCT((JAN!M_Verweiszeile=$H13)*JAN!M_ProdN2*(JAN!M_Monat=$E13))</f>
        <v>0</v>
      </c>
      <c r="X13" s="236">
        <f t="shared" si="12"/>
        <v>0</v>
      </c>
      <c r="Y13" s="236">
        <f t="shared" si="2"/>
        <v>0</v>
      </c>
      <c r="Z13" s="236">
        <f t="shared" si="3"/>
        <v>0</v>
      </c>
      <c r="AA13" s="236">
        <f t="shared" si="13"/>
        <v>0</v>
      </c>
      <c r="AB13" s="236">
        <f t="shared" si="14"/>
        <v>0</v>
      </c>
      <c r="AC13" s="236">
        <f t="shared" si="15"/>
        <v>0</v>
      </c>
    </row>
    <row r="14" spans="3:29" x14ac:dyDescent="0.2">
      <c r="C14" s="129">
        <v>5</v>
      </c>
      <c r="D14" s="190">
        <f t="shared" si="16"/>
        <v>45296</v>
      </c>
      <c r="E14" s="129">
        <f t="shared" si="4"/>
        <v>1</v>
      </c>
      <c r="F14" s="191">
        <f t="shared" si="5"/>
        <v>45296</v>
      </c>
      <c r="G14" s="129">
        <f t="shared" si="6"/>
        <v>1</v>
      </c>
      <c r="H14" s="129">
        <f t="shared" si="7"/>
        <v>5</v>
      </c>
      <c r="I14" s="129">
        <f t="shared" si="8"/>
        <v>5</v>
      </c>
      <c r="J14" s="192">
        <f t="shared" si="9"/>
        <v>45296</v>
      </c>
      <c r="K14" s="129" t="str" cm="1">
        <f t="array" ref="K14">IF(AND(I14&lt;7,INDEX(B_tblFTMatrix,$E14,$H14)="x"),"ft","")</f>
        <v/>
      </c>
      <c r="L14" s="129"/>
      <c r="M14" s="129"/>
      <c r="N14" s="129">
        <f t="shared" si="0"/>
        <v>1</v>
      </c>
      <c r="O14" s="129">
        <f t="shared" si="10"/>
        <v>1</v>
      </c>
      <c r="P14" s="231">
        <f t="shared" si="1"/>
        <v>8</v>
      </c>
      <c r="Q14" s="232" cm="1">
        <f t="array" ref="Q14">SUMPRODUCT((H_tblBGTage=I14)*(H_tblBGMnt=E14)*H_tblBG%)</f>
        <v>1</v>
      </c>
      <c r="R14" s="231">
        <f t="shared" si="11"/>
        <v>8</v>
      </c>
      <c r="S14" s="237"/>
      <c r="T14" s="237"/>
      <c r="U14" s="236" cm="1">
        <f t="array" ref="U14">SUMPRODUCT((JAN!M_Verweiszeile=$H14)*JAN!M_ProdTag*(JAN!M_Monat=$E14))</f>
        <v>0</v>
      </c>
      <c r="V14" s="236" cm="1">
        <f t="array" ref="V14">SUMPRODUCT((JAN!M_Verweiszeile=$H14)*JAN!M_ProdN1*(JAN!M_Monat=$E14))</f>
        <v>0</v>
      </c>
      <c r="W14" s="236" cm="1">
        <f t="array" ref="W14">SUMPRODUCT((JAN!M_Verweiszeile=$H14)*JAN!M_ProdN2*(JAN!M_Monat=$E14))</f>
        <v>0</v>
      </c>
      <c r="X14" s="236">
        <f t="shared" si="12"/>
        <v>0</v>
      </c>
      <c r="Y14" s="236">
        <f t="shared" si="2"/>
        <v>0</v>
      </c>
      <c r="Z14" s="236">
        <f t="shared" si="3"/>
        <v>0</v>
      </c>
      <c r="AA14" s="236">
        <f t="shared" si="13"/>
        <v>0</v>
      </c>
      <c r="AB14" s="236">
        <f t="shared" si="14"/>
        <v>0</v>
      </c>
      <c r="AC14" s="236">
        <f t="shared" si="15"/>
        <v>0</v>
      </c>
    </row>
    <row r="15" spans="3:29" x14ac:dyDescent="0.2">
      <c r="C15" s="129">
        <v>6</v>
      </c>
      <c r="D15" s="190">
        <f t="shared" si="16"/>
        <v>45297</v>
      </c>
      <c r="E15" s="129">
        <f t="shared" si="4"/>
        <v>1</v>
      </c>
      <c r="F15" s="191">
        <f t="shared" si="5"/>
        <v>45297</v>
      </c>
      <c r="G15" s="129">
        <f t="shared" si="6"/>
        <v>1</v>
      </c>
      <c r="H15" s="129">
        <f t="shared" si="7"/>
        <v>6</v>
      </c>
      <c r="I15" s="129">
        <f t="shared" si="8"/>
        <v>6</v>
      </c>
      <c r="J15" s="192">
        <f t="shared" si="9"/>
        <v>45297</v>
      </c>
      <c r="K15" s="129" t="str" cm="1">
        <f t="array" ref="K15">IF(AND(I15&lt;7,INDEX(B_tblFTMatrix,$E15,$H15)="x"),"ft","")</f>
        <v/>
      </c>
      <c r="L15" s="129"/>
      <c r="M15" s="129"/>
      <c r="N15" s="129">
        <f t="shared" si="0"/>
        <v>0</v>
      </c>
      <c r="O15" s="129">
        <f t="shared" si="10"/>
        <v>0</v>
      </c>
      <c r="P15" s="231">
        <f t="shared" si="1"/>
        <v>0</v>
      </c>
      <c r="Q15" s="232" cm="1">
        <f t="array" ref="Q15">SUMPRODUCT((H_tblBGTage=I15)*(H_tblBGMnt=E15)*H_tblBG%)</f>
        <v>0</v>
      </c>
      <c r="R15" s="231">
        <f t="shared" si="11"/>
        <v>0</v>
      </c>
      <c r="S15" s="237"/>
      <c r="T15" s="237"/>
      <c r="U15" s="236" cm="1">
        <f t="array" ref="U15">SUMPRODUCT((JAN!M_Verweiszeile=$H15)*JAN!M_ProdTag*(JAN!M_Monat=$E15))</f>
        <v>0</v>
      </c>
      <c r="V15" s="236" cm="1">
        <f t="array" ref="V15">SUMPRODUCT((JAN!M_Verweiszeile=$H15)*JAN!M_ProdN1*(JAN!M_Monat=$E15))</f>
        <v>0</v>
      </c>
      <c r="W15" s="236" cm="1">
        <f t="array" ref="W15">SUMPRODUCT((JAN!M_Verweiszeile=$H15)*JAN!M_ProdN2*(JAN!M_Monat=$E15))</f>
        <v>0</v>
      </c>
      <c r="X15" s="236">
        <f t="shared" si="12"/>
        <v>0</v>
      </c>
      <c r="Y15" s="236">
        <f t="shared" si="2"/>
        <v>0</v>
      </c>
      <c r="Z15" s="236">
        <f t="shared" si="3"/>
        <v>0</v>
      </c>
      <c r="AA15" s="236">
        <f t="shared" si="13"/>
        <v>0</v>
      </c>
      <c r="AB15" s="236">
        <f t="shared" si="14"/>
        <v>0</v>
      </c>
      <c r="AC15" s="236">
        <f t="shared" si="15"/>
        <v>0</v>
      </c>
    </row>
    <row r="16" spans="3:29" x14ac:dyDescent="0.2">
      <c r="C16" s="129">
        <v>7</v>
      </c>
      <c r="D16" s="190">
        <f t="shared" si="16"/>
        <v>45298</v>
      </c>
      <c r="E16" s="129">
        <f t="shared" si="4"/>
        <v>1</v>
      </c>
      <c r="F16" s="191">
        <f t="shared" si="5"/>
        <v>45298</v>
      </c>
      <c r="G16" s="129">
        <f t="shared" si="6"/>
        <v>1</v>
      </c>
      <c r="H16" s="129">
        <f t="shared" si="7"/>
        <v>7</v>
      </c>
      <c r="I16" s="129">
        <f t="shared" si="8"/>
        <v>7</v>
      </c>
      <c r="J16" s="192">
        <f t="shared" si="9"/>
        <v>45298</v>
      </c>
      <c r="K16" s="129" t="str" cm="1">
        <f t="array" ref="K16">IF(AND(I16&lt;7,INDEX(B_tblFTMatrix,$E16,$H16)="x"),"ft","")</f>
        <v/>
      </c>
      <c r="L16" s="129"/>
      <c r="M16" s="129"/>
      <c r="N16" s="129">
        <f t="shared" si="0"/>
        <v>0</v>
      </c>
      <c r="O16" s="129">
        <f t="shared" si="10"/>
        <v>0</v>
      </c>
      <c r="P16" s="231">
        <f t="shared" si="1"/>
        <v>0</v>
      </c>
      <c r="Q16" s="232" cm="1">
        <f t="array" ref="Q16">SUMPRODUCT((H_tblBGTage=I16)*(H_tblBGMnt=E16)*H_tblBG%)</f>
        <v>0</v>
      </c>
      <c r="R16" s="231">
        <f t="shared" si="11"/>
        <v>0</v>
      </c>
      <c r="S16" s="237"/>
      <c r="T16" s="237"/>
      <c r="U16" s="236" cm="1">
        <f t="array" ref="U16">SUMPRODUCT((JAN!M_Verweiszeile=$H16)*JAN!M_ProdTag*(JAN!M_Monat=$E16))</f>
        <v>0</v>
      </c>
      <c r="V16" s="236" cm="1">
        <f t="array" ref="V16">SUMPRODUCT((JAN!M_Verweiszeile=$H16)*JAN!M_ProdN1*(JAN!M_Monat=$E16))</f>
        <v>0</v>
      </c>
      <c r="W16" s="236" cm="1">
        <f t="array" ref="W16">SUMPRODUCT((JAN!M_Verweiszeile=$H16)*JAN!M_ProdN2*(JAN!M_Monat=$E16))</f>
        <v>0</v>
      </c>
      <c r="X16" s="236">
        <f t="shared" si="12"/>
        <v>0</v>
      </c>
      <c r="Y16" s="236">
        <f t="shared" si="2"/>
        <v>0</v>
      </c>
      <c r="Z16" s="236">
        <f t="shared" si="3"/>
        <v>0</v>
      </c>
      <c r="AA16" s="236">
        <f t="shared" si="13"/>
        <v>0</v>
      </c>
      <c r="AB16" s="236">
        <f t="shared" si="14"/>
        <v>0</v>
      </c>
      <c r="AC16" s="236">
        <f t="shared" si="15"/>
        <v>0</v>
      </c>
    </row>
    <row r="17" spans="3:29" x14ac:dyDescent="0.2">
      <c r="C17" s="129">
        <v>8</v>
      </c>
      <c r="D17" s="190">
        <f t="shared" si="16"/>
        <v>45299</v>
      </c>
      <c r="E17" s="129">
        <f t="shared" si="4"/>
        <v>1</v>
      </c>
      <c r="F17" s="191">
        <f t="shared" si="5"/>
        <v>45299</v>
      </c>
      <c r="G17" s="129">
        <f t="shared" si="6"/>
        <v>2</v>
      </c>
      <c r="H17" s="129">
        <f t="shared" si="7"/>
        <v>8</v>
      </c>
      <c r="I17" s="129">
        <f t="shared" si="8"/>
        <v>1</v>
      </c>
      <c r="J17" s="192">
        <f t="shared" si="9"/>
        <v>45299</v>
      </c>
      <c r="K17" s="129" t="str" cm="1">
        <f t="array" ref="K17">IF(AND(I17&lt;7,INDEX(B_tblFTMatrix,$E17,$H17)="x"),"ft","")</f>
        <v/>
      </c>
      <c r="L17" s="129"/>
      <c r="M17" s="129"/>
      <c r="N17" s="129">
        <f t="shared" si="0"/>
        <v>1</v>
      </c>
      <c r="O17" s="129">
        <f t="shared" si="10"/>
        <v>1</v>
      </c>
      <c r="P17" s="231">
        <f t="shared" si="1"/>
        <v>8</v>
      </c>
      <c r="Q17" s="232" cm="1">
        <f t="array" ref="Q17">SUMPRODUCT((H_tblBGTage=I17)*(H_tblBGMnt=E17)*H_tblBG%)</f>
        <v>1</v>
      </c>
      <c r="R17" s="231">
        <f t="shared" si="11"/>
        <v>8</v>
      </c>
      <c r="S17" s="237"/>
      <c r="T17" s="237"/>
      <c r="U17" s="236" cm="1">
        <f t="array" ref="U17">SUMPRODUCT((JAN!M_Verweiszeile=$H17)*JAN!M_ProdTag*(JAN!M_Monat=$E17))</f>
        <v>0</v>
      </c>
      <c r="V17" s="236" cm="1">
        <f t="array" ref="V17">SUMPRODUCT((JAN!M_Verweiszeile=$H17)*JAN!M_ProdN1*(JAN!M_Monat=$E17))</f>
        <v>0</v>
      </c>
      <c r="W17" s="236" cm="1">
        <f t="array" ref="W17">SUMPRODUCT((JAN!M_Verweiszeile=$H17)*JAN!M_ProdN2*(JAN!M_Monat=$E17))</f>
        <v>0</v>
      </c>
      <c r="X17" s="236">
        <f t="shared" si="12"/>
        <v>0</v>
      </c>
      <c r="Y17" s="236">
        <f t="shared" si="2"/>
        <v>0</v>
      </c>
      <c r="Z17" s="236">
        <f t="shared" si="3"/>
        <v>0</v>
      </c>
      <c r="AA17" s="236">
        <f t="shared" si="13"/>
        <v>0</v>
      </c>
      <c r="AB17" s="236">
        <f t="shared" si="14"/>
        <v>0</v>
      </c>
      <c r="AC17" s="236">
        <f t="shared" si="15"/>
        <v>0</v>
      </c>
    </row>
    <row r="18" spans="3:29" x14ac:dyDescent="0.2">
      <c r="C18" s="129">
        <v>9</v>
      </c>
      <c r="D18" s="190">
        <f t="shared" si="16"/>
        <v>45300</v>
      </c>
      <c r="E18" s="129">
        <f t="shared" si="4"/>
        <v>1</v>
      </c>
      <c r="F18" s="191">
        <f t="shared" si="5"/>
        <v>45300</v>
      </c>
      <c r="G18" s="129">
        <f t="shared" si="6"/>
        <v>2</v>
      </c>
      <c r="H18" s="129">
        <f t="shared" si="7"/>
        <v>9</v>
      </c>
      <c r="I18" s="129">
        <f t="shared" si="8"/>
        <v>2</v>
      </c>
      <c r="J18" s="192">
        <f t="shared" si="9"/>
        <v>45300</v>
      </c>
      <c r="K18" s="129" t="str" cm="1">
        <f t="array" ref="K18">IF(AND(I18&lt;7,INDEX(B_tblFTMatrix,$E18,$H18)="x"),"ft","")</f>
        <v/>
      </c>
      <c r="L18" s="129"/>
      <c r="M18" s="129"/>
      <c r="N18" s="129">
        <f t="shared" si="0"/>
        <v>1</v>
      </c>
      <c r="O18" s="129">
        <f t="shared" si="10"/>
        <v>1</v>
      </c>
      <c r="P18" s="231">
        <f t="shared" si="1"/>
        <v>8</v>
      </c>
      <c r="Q18" s="232" cm="1">
        <f t="array" ref="Q18">SUMPRODUCT((H_tblBGTage=I18)*(H_tblBGMnt=E18)*H_tblBG%)</f>
        <v>1</v>
      </c>
      <c r="R18" s="231">
        <f t="shared" si="11"/>
        <v>8</v>
      </c>
      <c r="S18" s="237"/>
      <c r="T18" s="237"/>
      <c r="U18" s="236" cm="1">
        <f t="array" ref="U18">SUMPRODUCT((JAN!M_Verweiszeile=$H18)*JAN!M_ProdTag*(JAN!M_Monat=$E18))</f>
        <v>0</v>
      </c>
      <c r="V18" s="236" cm="1">
        <f t="array" ref="V18">SUMPRODUCT((JAN!M_Verweiszeile=$H18)*JAN!M_ProdN1*(JAN!M_Monat=$E18))</f>
        <v>0</v>
      </c>
      <c r="W18" s="236" cm="1">
        <f t="array" ref="W18">SUMPRODUCT((JAN!M_Verweiszeile=$H18)*JAN!M_ProdN2*(JAN!M_Monat=$E18))</f>
        <v>0</v>
      </c>
      <c r="X18" s="236">
        <f t="shared" si="12"/>
        <v>0</v>
      </c>
      <c r="Y18" s="236">
        <f t="shared" si="2"/>
        <v>0</v>
      </c>
      <c r="Z18" s="236">
        <f t="shared" si="3"/>
        <v>0</v>
      </c>
      <c r="AA18" s="236">
        <f t="shared" si="13"/>
        <v>0</v>
      </c>
      <c r="AB18" s="236">
        <f t="shared" si="14"/>
        <v>0</v>
      </c>
      <c r="AC18" s="236">
        <f t="shared" si="15"/>
        <v>0</v>
      </c>
    </row>
    <row r="19" spans="3:29" x14ac:dyDescent="0.2">
      <c r="C19" s="129">
        <v>10</v>
      </c>
      <c r="D19" s="190">
        <f t="shared" si="16"/>
        <v>45301</v>
      </c>
      <c r="E19" s="129">
        <f t="shared" si="4"/>
        <v>1</v>
      </c>
      <c r="F19" s="191">
        <f t="shared" si="5"/>
        <v>45301</v>
      </c>
      <c r="G19" s="129">
        <f t="shared" si="6"/>
        <v>2</v>
      </c>
      <c r="H19" s="129">
        <f t="shared" si="7"/>
        <v>10</v>
      </c>
      <c r="I19" s="129">
        <f t="shared" si="8"/>
        <v>3</v>
      </c>
      <c r="J19" s="192">
        <f t="shared" si="9"/>
        <v>45301</v>
      </c>
      <c r="K19" s="129" t="str" cm="1">
        <f t="array" ref="K19">IF(AND(I19&lt;7,INDEX(B_tblFTMatrix,$E19,$H19)="x"),"ft","")</f>
        <v/>
      </c>
      <c r="L19" s="129"/>
      <c r="M19" s="129"/>
      <c r="N19" s="129">
        <f t="shared" si="0"/>
        <v>1</v>
      </c>
      <c r="O19" s="129">
        <f t="shared" si="10"/>
        <v>1</v>
      </c>
      <c r="P19" s="231">
        <f t="shared" si="1"/>
        <v>8</v>
      </c>
      <c r="Q19" s="232" cm="1">
        <f t="array" ref="Q19">SUMPRODUCT((H_tblBGTage=I19)*(H_tblBGMnt=E19)*H_tblBG%)</f>
        <v>1</v>
      </c>
      <c r="R19" s="231">
        <f t="shared" si="11"/>
        <v>8</v>
      </c>
      <c r="S19" s="237"/>
      <c r="T19" s="237"/>
      <c r="U19" s="236" cm="1">
        <f t="array" ref="U19">SUMPRODUCT((JAN!M_Verweiszeile=$H19)*JAN!M_ProdTag*(JAN!M_Monat=$E19))</f>
        <v>0</v>
      </c>
      <c r="V19" s="236" cm="1">
        <f t="array" ref="V19">SUMPRODUCT((JAN!M_Verweiszeile=$H19)*JAN!M_ProdN1*(JAN!M_Monat=$E19))</f>
        <v>0</v>
      </c>
      <c r="W19" s="236" cm="1">
        <f t="array" ref="W19">SUMPRODUCT((JAN!M_Verweiszeile=$H19)*JAN!M_ProdN2*(JAN!M_Monat=$E19))</f>
        <v>0</v>
      </c>
      <c r="X19" s="236">
        <f t="shared" si="12"/>
        <v>0</v>
      </c>
      <c r="Y19" s="236">
        <f t="shared" si="2"/>
        <v>0</v>
      </c>
      <c r="Z19" s="236">
        <f t="shared" si="3"/>
        <v>0</v>
      </c>
      <c r="AA19" s="236">
        <f t="shared" si="13"/>
        <v>0</v>
      </c>
      <c r="AB19" s="236">
        <f t="shared" si="14"/>
        <v>0</v>
      </c>
      <c r="AC19" s="236">
        <f t="shared" si="15"/>
        <v>0</v>
      </c>
    </row>
    <row r="20" spans="3:29" x14ac:dyDescent="0.2">
      <c r="C20" s="129">
        <v>11</v>
      </c>
      <c r="D20" s="190">
        <f t="shared" si="16"/>
        <v>45302</v>
      </c>
      <c r="E20" s="129">
        <f t="shared" si="4"/>
        <v>1</v>
      </c>
      <c r="F20" s="191">
        <f t="shared" si="5"/>
        <v>45302</v>
      </c>
      <c r="G20" s="129">
        <f t="shared" si="6"/>
        <v>2</v>
      </c>
      <c r="H20" s="129">
        <f t="shared" si="7"/>
        <v>11</v>
      </c>
      <c r="I20" s="129">
        <f t="shared" si="8"/>
        <v>4</v>
      </c>
      <c r="J20" s="192">
        <f t="shared" si="9"/>
        <v>45302</v>
      </c>
      <c r="K20" s="129" t="str" cm="1">
        <f t="array" ref="K20">IF(AND(I20&lt;7,INDEX(B_tblFTMatrix,$E20,$H20)="x"),"ft","")</f>
        <v/>
      </c>
      <c r="L20" s="129"/>
      <c r="M20" s="129"/>
      <c r="N20" s="129">
        <f t="shared" si="0"/>
        <v>1</v>
      </c>
      <c r="O20" s="129">
        <f t="shared" si="10"/>
        <v>1</v>
      </c>
      <c r="P20" s="231">
        <f t="shared" si="1"/>
        <v>8</v>
      </c>
      <c r="Q20" s="232" cm="1">
        <f t="array" ref="Q20">SUMPRODUCT((H_tblBGTage=I20)*(H_tblBGMnt=E20)*H_tblBG%)</f>
        <v>1</v>
      </c>
      <c r="R20" s="231">
        <f t="shared" si="11"/>
        <v>8</v>
      </c>
      <c r="S20" s="237"/>
      <c r="T20" s="237"/>
      <c r="U20" s="236" cm="1">
        <f t="array" ref="U20">SUMPRODUCT((JAN!M_Verweiszeile=$H20)*JAN!M_ProdTag*(JAN!M_Monat=$E20))</f>
        <v>0</v>
      </c>
      <c r="V20" s="236" cm="1">
        <f t="array" ref="V20">SUMPRODUCT((JAN!M_Verweiszeile=$H20)*JAN!M_ProdN1*(JAN!M_Monat=$E20))</f>
        <v>0</v>
      </c>
      <c r="W20" s="236" cm="1">
        <f t="array" ref="W20">SUMPRODUCT((JAN!M_Verweiszeile=$H20)*JAN!M_ProdN2*(JAN!M_Monat=$E20))</f>
        <v>0</v>
      </c>
      <c r="X20" s="236">
        <f t="shared" si="12"/>
        <v>0</v>
      </c>
      <c r="Y20" s="236">
        <f t="shared" si="2"/>
        <v>0</v>
      </c>
      <c r="Z20" s="236">
        <f t="shared" si="3"/>
        <v>0</v>
      </c>
      <c r="AA20" s="236">
        <f t="shared" si="13"/>
        <v>0</v>
      </c>
      <c r="AB20" s="236">
        <f t="shared" si="14"/>
        <v>0</v>
      </c>
      <c r="AC20" s="236">
        <f t="shared" si="15"/>
        <v>0</v>
      </c>
    </row>
    <row r="21" spans="3:29" x14ac:dyDescent="0.2">
      <c r="C21" s="129">
        <v>12</v>
      </c>
      <c r="D21" s="190">
        <f t="shared" si="16"/>
        <v>45303</v>
      </c>
      <c r="E21" s="129">
        <f t="shared" si="4"/>
        <v>1</v>
      </c>
      <c r="F21" s="191">
        <f t="shared" si="5"/>
        <v>45303</v>
      </c>
      <c r="G21" s="129">
        <f t="shared" si="6"/>
        <v>2</v>
      </c>
      <c r="H21" s="129">
        <f t="shared" si="7"/>
        <v>12</v>
      </c>
      <c r="I21" s="129">
        <f t="shared" si="8"/>
        <v>5</v>
      </c>
      <c r="J21" s="192">
        <f t="shared" si="9"/>
        <v>45303</v>
      </c>
      <c r="K21" s="129" t="str" cm="1">
        <f t="array" ref="K21">IF(AND(I21&lt;7,INDEX(B_tblFTMatrix,$E21,$H21)="x"),"ft","")</f>
        <v/>
      </c>
      <c r="L21" s="129"/>
      <c r="M21" s="129"/>
      <c r="N21" s="129">
        <f t="shared" si="0"/>
        <v>1</v>
      </c>
      <c r="O21" s="129">
        <f t="shared" si="10"/>
        <v>1</v>
      </c>
      <c r="P21" s="231">
        <f t="shared" si="1"/>
        <v>8</v>
      </c>
      <c r="Q21" s="232" cm="1">
        <f t="array" ref="Q21">SUMPRODUCT((H_tblBGTage=I21)*(H_tblBGMnt=E21)*H_tblBG%)</f>
        <v>1</v>
      </c>
      <c r="R21" s="231">
        <f t="shared" si="11"/>
        <v>8</v>
      </c>
      <c r="S21" s="237"/>
      <c r="T21" s="237"/>
      <c r="U21" s="236" cm="1">
        <f t="array" ref="U21">SUMPRODUCT((JAN!M_Verweiszeile=$H21)*JAN!M_ProdTag*(JAN!M_Monat=$E21))</f>
        <v>0</v>
      </c>
      <c r="V21" s="236" cm="1">
        <f t="array" ref="V21">SUMPRODUCT((JAN!M_Verweiszeile=$H21)*JAN!M_ProdN1*(JAN!M_Monat=$E21))</f>
        <v>0</v>
      </c>
      <c r="W21" s="236" cm="1">
        <f t="array" ref="W21">SUMPRODUCT((JAN!M_Verweiszeile=$H21)*JAN!M_ProdN2*(JAN!M_Monat=$E21))</f>
        <v>0</v>
      </c>
      <c r="X21" s="236">
        <f t="shared" si="12"/>
        <v>0</v>
      </c>
      <c r="Y21" s="236">
        <f t="shared" si="2"/>
        <v>0</v>
      </c>
      <c r="Z21" s="236">
        <f t="shared" si="3"/>
        <v>0</v>
      </c>
      <c r="AA21" s="236">
        <f t="shared" si="13"/>
        <v>0</v>
      </c>
      <c r="AB21" s="236">
        <f t="shared" si="14"/>
        <v>0</v>
      </c>
      <c r="AC21" s="236">
        <f t="shared" si="15"/>
        <v>0</v>
      </c>
    </row>
    <row r="22" spans="3:29" x14ac:dyDescent="0.2">
      <c r="C22" s="129">
        <v>13</v>
      </c>
      <c r="D22" s="190">
        <f t="shared" si="16"/>
        <v>45304</v>
      </c>
      <c r="E22" s="129">
        <f t="shared" si="4"/>
        <v>1</v>
      </c>
      <c r="F22" s="191">
        <f t="shared" si="5"/>
        <v>45304</v>
      </c>
      <c r="G22" s="129">
        <f t="shared" si="6"/>
        <v>2</v>
      </c>
      <c r="H22" s="129">
        <f t="shared" si="7"/>
        <v>13</v>
      </c>
      <c r="I22" s="129">
        <f t="shared" si="8"/>
        <v>6</v>
      </c>
      <c r="J22" s="192">
        <f t="shared" si="9"/>
        <v>45304</v>
      </c>
      <c r="K22" s="129" t="str" cm="1">
        <f t="array" ref="K22">IF(AND(I22&lt;7,INDEX(B_tblFTMatrix,$E22,$H22)="x"),"ft","")</f>
        <v/>
      </c>
      <c r="L22" s="129"/>
      <c r="M22" s="129"/>
      <c r="N22" s="129">
        <f t="shared" si="0"/>
        <v>0</v>
      </c>
      <c r="O22" s="129">
        <f t="shared" si="10"/>
        <v>0</v>
      </c>
      <c r="P22" s="231">
        <f t="shared" si="1"/>
        <v>0</v>
      </c>
      <c r="Q22" s="232" cm="1">
        <f t="array" ref="Q22">SUMPRODUCT((H_tblBGTage=I22)*(H_tblBGMnt=E22)*H_tblBG%)</f>
        <v>0</v>
      </c>
      <c r="R22" s="231">
        <f t="shared" si="11"/>
        <v>0</v>
      </c>
      <c r="S22" s="237"/>
      <c r="T22" s="237"/>
      <c r="U22" s="236" cm="1">
        <f t="array" ref="U22">SUMPRODUCT((JAN!M_Verweiszeile=$H22)*JAN!M_ProdTag*(JAN!M_Monat=$E22))</f>
        <v>0</v>
      </c>
      <c r="V22" s="236" cm="1">
        <f t="array" ref="V22">SUMPRODUCT((JAN!M_Verweiszeile=$H22)*JAN!M_ProdN1*(JAN!M_Monat=$E22))</f>
        <v>0</v>
      </c>
      <c r="W22" s="236" cm="1">
        <f t="array" ref="W22">SUMPRODUCT((JAN!M_Verweiszeile=$H22)*JAN!M_ProdN2*(JAN!M_Monat=$E22))</f>
        <v>0</v>
      </c>
      <c r="X22" s="236">
        <f t="shared" si="12"/>
        <v>0</v>
      </c>
      <c r="Y22" s="236">
        <f t="shared" si="2"/>
        <v>0</v>
      </c>
      <c r="Z22" s="236">
        <f t="shared" si="3"/>
        <v>0</v>
      </c>
      <c r="AA22" s="236">
        <f t="shared" si="13"/>
        <v>0</v>
      </c>
      <c r="AB22" s="236">
        <f t="shared" si="14"/>
        <v>0</v>
      </c>
      <c r="AC22" s="236">
        <f t="shared" si="15"/>
        <v>0</v>
      </c>
    </row>
    <row r="23" spans="3:29" x14ac:dyDescent="0.2">
      <c r="C23" s="129">
        <v>14</v>
      </c>
      <c r="D23" s="190">
        <f t="shared" si="16"/>
        <v>45305</v>
      </c>
      <c r="E23" s="129">
        <f t="shared" si="4"/>
        <v>1</v>
      </c>
      <c r="F23" s="191">
        <f t="shared" si="5"/>
        <v>45305</v>
      </c>
      <c r="G23" s="129">
        <f t="shared" si="6"/>
        <v>2</v>
      </c>
      <c r="H23" s="129">
        <f t="shared" si="7"/>
        <v>14</v>
      </c>
      <c r="I23" s="129">
        <f t="shared" si="8"/>
        <v>7</v>
      </c>
      <c r="J23" s="192">
        <f t="shared" si="9"/>
        <v>45305</v>
      </c>
      <c r="K23" s="129" t="str" cm="1">
        <f t="array" ref="K23">IF(AND(I23&lt;7,INDEX(B_tblFTMatrix,$E23,$H23)="x"),"ft","")</f>
        <v/>
      </c>
      <c r="L23" s="129"/>
      <c r="M23" s="129"/>
      <c r="N23" s="129">
        <f t="shared" si="0"/>
        <v>0</v>
      </c>
      <c r="O23" s="129">
        <f t="shared" si="10"/>
        <v>0</v>
      </c>
      <c r="P23" s="231">
        <f t="shared" si="1"/>
        <v>0</v>
      </c>
      <c r="Q23" s="232" cm="1">
        <f t="array" ref="Q23">SUMPRODUCT((H_tblBGTage=I23)*(H_tblBGMnt=E23)*H_tblBG%)</f>
        <v>0</v>
      </c>
      <c r="R23" s="231">
        <f t="shared" si="11"/>
        <v>0</v>
      </c>
      <c r="S23" s="237"/>
      <c r="T23" s="237"/>
      <c r="U23" s="236" cm="1">
        <f t="array" ref="U23">SUMPRODUCT((JAN!M_Verweiszeile=$H23)*JAN!M_ProdTag*(JAN!M_Monat=$E23))</f>
        <v>0</v>
      </c>
      <c r="V23" s="236" cm="1">
        <f t="array" ref="V23">SUMPRODUCT((JAN!M_Verweiszeile=$H23)*JAN!M_ProdN1*(JAN!M_Monat=$E23))</f>
        <v>0</v>
      </c>
      <c r="W23" s="236" cm="1">
        <f t="array" ref="W23">SUMPRODUCT((JAN!M_Verweiszeile=$H23)*JAN!M_ProdN2*(JAN!M_Monat=$E23))</f>
        <v>0</v>
      </c>
      <c r="X23" s="236">
        <f t="shared" si="12"/>
        <v>0</v>
      </c>
      <c r="Y23" s="236">
        <f t="shared" si="2"/>
        <v>0</v>
      </c>
      <c r="Z23" s="236">
        <f t="shared" si="3"/>
        <v>0</v>
      </c>
      <c r="AA23" s="236">
        <f t="shared" si="13"/>
        <v>0</v>
      </c>
      <c r="AB23" s="236">
        <f t="shared" si="14"/>
        <v>0</v>
      </c>
      <c r="AC23" s="236">
        <f t="shared" si="15"/>
        <v>0</v>
      </c>
    </row>
    <row r="24" spans="3:29" x14ac:dyDescent="0.2">
      <c r="C24" s="129">
        <v>15</v>
      </c>
      <c r="D24" s="190">
        <f t="shared" si="16"/>
        <v>45306</v>
      </c>
      <c r="E24" s="129">
        <f t="shared" si="4"/>
        <v>1</v>
      </c>
      <c r="F24" s="191">
        <f t="shared" si="5"/>
        <v>45306</v>
      </c>
      <c r="G24" s="129">
        <f t="shared" si="6"/>
        <v>3</v>
      </c>
      <c r="H24" s="129">
        <f t="shared" si="7"/>
        <v>15</v>
      </c>
      <c r="I24" s="129">
        <f t="shared" si="8"/>
        <v>1</v>
      </c>
      <c r="J24" s="192">
        <f t="shared" si="9"/>
        <v>45306</v>
      </c>
      <c r="K24" s="129" t="str" cm="1">
        <f t="array" ref="K24">IF(AND(I24&lt;7,INDEX(B_tblFTMatrix,$E24,$H24)="x"),"ft","")</f>
        <v/>
      </c>
      <c r="L24" s="129"/>
      <c r="M24" s="129"/>
      <c r="N24" s="129">
        <f t="shared" si="0"/>
        <v>1</v>
      </c>
      <c r="O24" s="129">
        <f t="shared" si="10"/>
        <v>1</v>
      </c>
      <c r="P24" s="231">
        <f t="shared" si="1"/>
        <v>8</v>
      </c>
      <c r="Q24" s="233" cm="1">
        <f t="array" ref="Q24">SUMPRODUCT((H_tblBGTage=I24)*(H_tblBGMnt=E24)*H_tblBG%)</f>
        <v>1</v>
      </c>
      <c r="R24" s="231">
        <f t="shared" si="11"/>
        <v>8</v>
      </c>
      <c r="S24" s="237"/>
      <c r="T24" s="237"/>
      <c r="U24" s="236" cm="1">
        <f t="array" ref="U24">SUMPRODUCT((JAN!M_Verweiszeile=$H24)*JAN!M_ProdTag*(JAN!M_Monat=$E24))</f>
        <v>0</v>
      </c>
      <c r="V24" s="236" cm="1">
        <f t="array" ref="V24">SUMPRODUCT((JAN!M_Verweiszeile=$H24)*JAN!M_ProdN1*(JAN!M_Monat=$E24))</f>
        <v>0</v>
      </c>
      <c r="W24" s="236" cm="1">
        <f t="array" ref="W24">SUMPRODUCT((JAN!M_Verweiszeile=$H24)*JAN!M_ProdN2*(JAN!M_Monat=$E24))</f>
        <v>0</v>
      </c>
      <c r="X24" s="236">
        <f t="shared" si="12"/>
        <v>0</v>
      </c>
      <c r="Y24" s="236">
        <f t="shared" si="2"/>
        <v>0</v>
      </c>
      <c r="Z24" s="236">
        <f t="shared" si="3"/>
        <v>0</v>
      </c>
      <c r="AA24" s="236">
        <f t="shared" si="13"/>
        <v>0</v>
      </c>
      <c r="AB24" s="236">
        <f t="shared" si="14"/>
        <v>0</v>
      </c>
      <c r="AC24" s="236">
        <f t="shared" si="15"/>
        <v>0</v>
      </c>
    </row>
    <row r="25" spans="3:29" x14ac:dyDescent="0.2">
      <c r="C25" s="129">
        <v>16</v>
      </c>
      <c r="D25" s="190">
        <f t="shared" si="16"/>
        <v>45307</v>
      </c>
      <c r="E25" s="129">
        <f t="shared" si="4"/>
        <v>1</v>
      </c>
      <c r="F25" s="191">
        <f t="shared" si="5"/>
        <v>45307</v>
      </c>
      <c r="G25" s="129">
        <f t="shared" si="6"/>
        <v>3</v>
      </c>
      <c r="H25" s="129">
        <f t="shared" si="7"/>
        <v>16</v>
      </c>
      <c r="I25" s="129">
        <f t="shared" si="8"/>
        <v>2</v>
      </c>
      <c r="J25" s="192">
        <f t="shared" si="9"/>
        <v>45307</v>
      </c>
      <c r="K25" s="129" t="str" cm="1">
        <f t="array" ref="K25">IF(AND(I25&lt;7,INDEX(B_tblFTMatrix,$E25,$H25)="x"),"ft","")</f>
        <v/>
      </c>
      <c r="L25" s="129"/>
      <c r="M25" s="129"/>
      <c r="N25" s="129">
        <f t="shared" si="0"/>
        <v>1</v>
      </c>
      <c r="O25" s="129">
        <f t="shared" si="10"/>
        <v>1</v>
      </c>
      <c r="P25" s="231">
        <f t="shared" si="1"/>
        <v>8</v>
      </c>
      <c r="Q25" s="233" cm="1">
        <f t="array" ref="Q25">SUMPRODUCT((H_tblBGTage=I25)*(H_tblBGMnt=E25)*H_tblBG%)</f>
        <v>1</v>
      </c>
      <c r="R25" s="231">
        <f t="shared" si="11"/>
        <v>8</v>
      </c>
      <c r="S25" s="237"/>
      <c r="T25" s="237"/>
      <c r="U25" s="236" cm="1">
        <f t="array" ref="U25">SUMPRODUCT((JAN!M_Verweiszeile=$H25)*JAN!M_ProdTag*(JAN!M_Monat=$E25))</f>
        <v>0</v>
      </c>
      <c r="V25" s="236" cm="1">
        <f t="array" ref="V25">SUMPRODUCT((JAN!M_Verweiszeile=$H25)*JAN!M_ProdN1*(JAN!M_Monat=$E25))</f>
        <v>0</v>
      </c>
      <c r="W25" s="236" cm="1">
        <f t="array" ref="W25">SUMPRODUCT((JAN!M_Verweiszeile=$H25)*JAN!M_ProdN2*(JAN!M_Monat=$E25))</f>
        <v>0</v>
      </c>
      <c r="X25" s="236">
        <f t="shared" si="12"/>
        <v>0</v>
      </c>
      <c r="Y25" s="236">
        <f t="shared" si="2"/>
        <v>0</v>
      </c>
      <c r="Z25" s="236">
        <f t="shared" si="3"/>
        <v>0</v>
      </c>
      <c r="AA25" s="236">
        <f t="shared" si="13"/>
        <v>0</v>
      </c>
      <c r="AB25" s="236">
        <f t="shared" si="14"/>
        <v>0</v>
      </c>
      <c r="AC25" s="236">
        <f t="shared" si="15"/>
        <v>0</v>
      </c>
    </row>
    <row r="26" spans="3:29" x14ac:dyDescent="0.2">
      <c r="C26" s="129">
        <v>17</v>
      </c>
      <c r="D26" s="190">
        <f t="shared" si="16"/>
        <v>45308</v>
      </c>
      <c r="E26" s="129">
        <f t="shared" si="4"/>
        <v>1</v>
      </c>
      <c r="F26" s="191">
        <f t="shared" si="5"/>
        <v>45308</v>
      </c>
      <c r="G26" s="129">
        <f t="shared" si="6"/>
        <v>3</v>
      </c>
      <c r="H26" s="129">
        <f t="shared" si="7"/>
        <v>17</v>
      </c>
      <c r="I26" s="129">
        <f t="shared" si="8"/>
        <v>3</v>
      </c>
      <c r="J26" s="192">
        <f t="shared" si="9"/>
        <v>45308</v>
      </c>
      <c r="K26" s="129" t="str" cm="1">
        <f t="array" ref="K26">IF(AND(I26&lt;7,INDEX(B_tblFTMatrix,$E26,$H26)="x"),"ft","")</f>
        <v/>
      </c>
      <c r="L26" s="129"/>
      <c r="M26" s="129"/>
      <c r="N26" s="129">
        <f t="shared" si="0"/>
        <v>1</v>
      </c>
      <c r="O26" s="129">
        <f t="shared" si="10"/>
        <v>1</v>
      </c>
      <c r="P26" s="231">
        <f t="shared" si="1"/>
        <v>8</v>
      </c>
      <c r="Q26" s="233" cm="1">
        <f t="array" ref="Q26">SUMPRODUCT((H_tblBGTage=I26)*(H_tblBGMnt=E26)*H_tblBG%)</f>
        <v>1</v>
      </c>
      <c r="R26" s="231">
        <f t="shared" si="11"/>
        <v>8</v>
      </c>
      <c r="S26" s="237"/>
      <c r="T26" s="237"/>
      <c r="U26" s="236" cm="1">
        <f t="array" ref="U26">SUMPRODUCT((JAN!M_Verweiszeile=$H26)*JAN!M_ProdTag*(JAN!M_Monat=$E26))</f>
        <v>0</v>
      </c>
      <c r="V26" s="236" cm="1">
        <f t="array" ref="V26">SUMPRODUCT((JAN!M_Verweiszeile=$H26)*JAN!M_ProdN1*(JAN!M_Monat=$E26))</f>
        <v>0</v>
      </c>
      <c r="W26" s="236" cm="1">
        <f t="array" ref="W26">SUMPRODUCT((JAN!M_Verweiszeile=$H26)*JAN!M_ProdN2*(JAN!M_Monat=$E26))</f>
        <v>0</v>
      </c>
      <c r="X26" s="236">
        <f t="shared" si="12"/>
        <v>0</v>
      </c>
      <c r="Y26" s="236">
        <f t="shared" si="2"/>
        <v>0</v>
      </c>
      <c r="Z26" s="236">
        <f t="shared" si="3"/>
        <v>0</v>
      </c>
      <c r="AA26" s="236">
        <f t="shared" si="13"/>
        <v>0</v>
      </c>
      <c r="AB26" s="236">
        <f t="shared" si="14"/>
        <v>0</v>
      </c>
      <c r="AC26" s="236">
        <f t="shared" si="15"/>
        <v>0</v>
      </c>
    </row>
    <row r="27" spans="3:29" x14ac:dyDescent="0.2">
      <c r="C27" s="129">
        <v>18</v>
      </c>
      <c r="D27" s="190">
        <f t="shared" si="16"/>
        <v>45309</v>
      </c>
      <c r="E27" s="129">
        <f t="shared" si="4"/>
        <v>1</v>
      </c>
      <c r="F27" s="191">
        <f t="shared" si="5"/>
        <v>45309</v>
      </c>
      <c r="G27" s="129">
        <f t="shared" si="6"/>
        <v>3</v>
      </c>
      <c r="H27" s="129">
        <f t="shared" si="7"/>
        <v>18</v>
      </c>
      <c r="I27" s="129">
        <f t="shared" si="8"/>
        <v>4</v>
      </c>
      <c r="J27" s="192">
        <f t="shared" si="9"/>
        <v>45309</v>
      </c>
      <c r="K27" s="129" t="str" cm="1">
        <f t="array" ref="K27">IF(AND(I27&lt;7,INDEX(B_tblFTMatrix,$E27,$H27)="x"),"ft","")</f>
        <v/>
      </c>
      <c r="L27" s="129"/>
      <c r="M27" s="129"/>
      <c r="N27" s="129">
        <f t="shared" si="0"/>
        <v>1</v>
      </c>
      <c r="O27" s="129">
        <f t="shared" si="10"/>
        <v>1</v>
      </c>
      <c r="P27" s="231">
        <f t="shared" si="1"/>
        <v>8</v>
      </c>
      <c r="Q27" s="233" cm="1">
        <f t="array" ref="Q27">SUMPRODUCT((H_tblBGTage=I27)*(H_tblBGMnt=E27)*H_tblBG%)</f>
        <v>1</v>
      </c>
      <c r="R27" s="231">
        <f t="shared" si="11"/>
        <v>8</v>
      </c>
      <c r="S27" s="237"/>
      <c r="T27" s="237"/>
      <c r="U27" s="236" cm="1">
        <f t="array" ref="U27">SUMPRODUCT((JAN!M_Verweiszeile=$H27)*JAN!M_ProdTag*(JAN!M_Monat=$E27))</f>
        <v>0</v>
      </c>
      <c r="V27" s="236" cm="1">
        <f t="array" ref="V27">SUMPRODUCT((JAN!M_Verweiszeile=$H27)*JAN!M_ProdN1*(JAN!M_Monat=$E27))</f>
        <v>0</v>
      </c>
      <c r="W27" s="236" cm="1">
        <f t="array" ref="W27">SUMPRODUCT((JAN!M_Verweiszeile=$H27)*JAN!M_ProdN2*(JAN!M_Monat=$E27))</f>
        <v>0</v>
      </c>
      <c r="X27" s="236">
        <f t="shared" si="12"/>
        <v>0</v>
      </c>
      <c r="Y27" s="236">
        <f t="shared" si="2"/>
        <v>0</v>
      </c>
      <c r="Z27" s="236">
        <f t="shared" si="3"/>
        <v>0</v>
      </c>
      <c r="AA27" s="236">
        <f t="shared" si="13"/>
        <v>0</v>
      </c>
      <c r="AB27" s="236">
        <f t="shared" si="14"/>
        <v>0</v>
      </c>
      <c r="AC27" s="236">
        <f t="shared" si="15"/>
        <v>0</v>
      </c>
    </row>
    <row r="28" spans="3:29" x14ac:dyDescent="0.2">
      <c r="C28" s="129">
        <v>19</v>
      </c>
      <c r="D28" s="190">
        <f t="shared" si="16"/>
        <v>45310</v>
      </c>
      <c r="E28" s="129">
        <f t="shared" si="4"/>
        <v>1</v>
      </c>
      <c r="F28" s="191">
        <f t="shared" si="5"/>
        <v>45310</v>
      </c>
      <c r="G28" s="129">
        <f t="shared" si="6"/>
        <v>3</v>
      </c>
      <c r="H28" s="129">
        <f t="shared" si="7"/>
        <v>19</v>
      </c>
      <c r="I28" s="129">
        <f t="shared" si="8"/>
        <v>5</v>
      </c>
      <c r="J28" s="192">
        <f t="shared" si="9"/>
        <v>45310</v>
      </c>
      <c r="K28" s="129" t="str" cm="1">
        <f t="array" ref="K28">IF(AND(I28&lt;7,INDEX(B_tblFTMatrix,$E28,$H28)="x"),"ft","")</f>
        <v/>
      </c>
      <c r="L28" s="129"/>
      <c r="M28" s="129"/>
      <c r="N28" s="129">
        <f t="shared" si="0"/>
        <v>1</v>
      </c>
      <c r="O28" s="129">
        <f t="shared" si="10"/>
        <v>1</v>
      </c>
      <c r="P28" s="231">
        <f t="shared" si="1"/>
        <v>8</v>
      </c>
      <c r="Q28" s="233" cm="1">
        <f t="array" ref="Q28">SUMPRODUCT((H_tblBGTage=I28)*(H_tblBGMnt=E28)*H_tblBG%)</f>
        <v>1</v>
      </c>
      <c r="R28" s="231">
        <f t="shared" si="11"/>
        <v>8</v>
      </c>
      <c r="S28" s="237"/>
      <c r="T28" s="237"/>
      <c r="U28" s="236" cm="1">
        <f t="array" ref="U28">SUMPRODUCT((JAN!M_Verweiszeile=$H28)*JAN!M_ProdTag*(JAN!M_Monat=$E28))</f>
        <v>0</v>
      </c>
      <c r="V28" s="236" cm="1">
        <f t="array" ref="V28">SUMPRODUCT((JAN!M_Verweiszeile=$H28)*JAN!M_ProdN1*(JAN!M_Monat=$E28))</f>
        <v>0</v>
      </c>
      <c r="W28" s="236" cm="1">
        <f t="array" ref="W28">SUMPRODUCT((JAN!M_Verweiszeile=$H28)*JAN!M_ProdN2*(JAN!M_Monat=$E28))</f>
        <v>0</v>
      </c>
      <c r="X28" s="236">
        <f t="shared" si="12"/>
        <v>0</v>
      </c>
      <c r="Y28" s="236">
        <f t="shared" si="2"/>
        <v>0</v>
      </c>
      <c r="Z28" s="236">
        <f t="shared" si="3"/>
        <v>0</v>
      </c>
      <c r="AA28" s="236">
        <f t="shared" si="13"/>
        <v>0</v>
      </c>
      <c r="AB28" s="236">
        <f t="shared" si="14"/>
        <v>0</v>
      </c>
      <c r="AC28" s="236">
        <f t="shared" si="15"/>
        <v>0</v>
      </c>
    </row>
    <row r="29" spans="3:29" x14ac:dyDescent="0.2">
      <c r="C29" s="129">
        <v>20</v>
      </c>
      <c r="D29" s="190">
        <f t="shared" si="16"/>
        <v>45311</v>
      </c>
      <c r="E29" s="129">
        <f t="shared" si="4"/>
        <v>1</v>
      </c>
      <c r="F29" s="191">
        <f t="shared" si="5"/>
        <v>45311</v>
      </c>
      <c r="G29" s="129">
        <f t="shared" si="6"/>
        <v>3</v>
      </c>
      <c r="H29" s="129">
        <f t="shared" si="7"/>
        <v>20</v>
      </c>
      <c r="I29" s="129">
        <f t="shared" si="8"/>
        <v>6</v>
      </c>
      <c r="J29" s="192">
        <f t="shared" si="9"/>
        <v>45311</v>
      </c>
      <c r="K29" s="129" t="str" cm="1">
        <f t="array" ref="K29">IF(AND(I29&lt;7,INDEX(B_tblFTMatrix,$E29,$H29)="x"),"ft","")</f>
        <v/>
      </c>
      <c r="L29" s="129"/>
      <c r="M29" s="129"/>
      <c r="N29" s="129">
        <f t="shared" si="0"/>
        <v>0</v>
      </c>
      <c r="O29" s="129">
        <f t="shared" si="10"/>
        <v>0</v>
      </c>
      <c r="P29" s="231">
        <f t="shared" si="1"/>
        <v>0</v>
      </c>
      <c r="Q29" s="233" cm="1">
        <f t="array" ref="Q29">SUMPRODUCT((H_tblBGTage=I29)*(H_tblBGMnt=E29)*H_tblBG%)</f>
        <v>0</v>
      </c>
      <c r="R29" s="231">
        <f t="shared" si="11"/>
        <v>0</v>
      </c>
      <c r="S29" s="237"/>
      <c r="T29" s="237"/>
      <c r="U29" s="236" cm="1">
        <f t="array" ref="U29">SUMPRODUCT((JAN!M_Verweiszeile=$H29)*JAN!M_ProdTag*(JAN!M_Monat=$E29))</f>
        <v>0</v>
      </c>
      <c r="V29" s="236" cm="1">
        <f t="array" ref="V29">SUMPRODUCT((JAN!M_Verweiszeile=$H29)*JAN!M_ProdN1*(JAN!M_Monat=$E29))</f>
        <v>0</v>
      </c>
      <c r="W29" s="236" cm="1">
        <f t="array" ref="W29">SUMPRODUCT((JAN!M_Verweiszeile=$H29)*JAN!M_ProdN2*(JAN!M_Monat=$E29))</f>
        <v>0</v>
      </c>
      <c r="X29" s="236">
        <f t="shared" si="12"/>
        <v>0</v>
      </c>
      <c r="Y29" s="236">
        <f t="shared" si="2"/>
        <v>0</v>
      </c>
      <c r="Z29" s="236">
        <f t="shared" si="3"/>
        <v>0</v>
      </c>
      <c r="AA29" s="236">
        <f t="shared" si="13"/>
        <v>0</v>
      </c>
      <c r="AB29" s="236">
        <f t="shared" si="14"/>
        <v>0</v>
      </c>
      <c r="AC29" s="236">
        <f t="shared" si="15"/>
        <v>0</v>
      </c>
    </row>
    <row r="30" spans="3:29" x14ac:dyDescent="0.2">
      <c r="C30" s="129">
        <v>21</v>
      </c>
      <c r="D30" s="190">
        <f t="shared" si="16"/>
        <v>45312</v>
      </c>
      <c r="E30" s="129">
        <f t="shared" si="4"/>
        <v>1</v>
      </c>
      <c r="F30" s="191">
        <f t="shared" si="5"/>
        <v>45312</v>
      </c>
      <c r="G30" s="129">
        <f t="shared" si="6"/>
        <v>3</v>
      </c>
      <c r="H30" s="129">
        <f t="shared" si="7"/>
        <v>21</v>
      </c>
      <c r="I30" s="129">
        <f t="shared" si="8"/>
        <v>7</v>
      </c>
      <c r="J30" s="192">
        <f t="shared" si="9"/>
        <v>45312</v>
      </c>
      <c r="K30" s="129" t="str" cm="1">
        <f t="array" ref="K30">IF(AND(I30&lt;7,INDEX(B_tblFTMatrix,$E30,$H30)="x"),"ft","")</f>
        <v/>
      </c>
      <c r="L30" s="129"/>
      <c r="M30" s="129"/>
      <c r="N30" s="129">
        <f t="shared" si="0"/>
        <v>0</v>
      </c>
      <c r="O30" s="129">
        <f t="shared" si="10"/>
        <v>0</v>
      </c>
      <c r="P30" s="231">
        <f t="shared" si="1"/>
        <v>0</v>
      </c>
      <c r="Q30" s="233" cm="1">
        <f t="array" ref="Q30">SUMPRODUCT((H_tblBGTage=I30)*(H_tblBGMnt=E30)*H_tblBG%)</f>
        <v>0</v>
      </c>
      <c r="R30" s="231">
        <f t="shared" si="11"/>
        <v>0</v>
      </c>
      <c r="S30" s="237"/>
      <c r="T30" s="237"/>
      <c r="U30" s="236" cm="1">
        <f t="array" ref="U30">SUMPRODUCT((JAN!M_Verweiszeile=$H30)*JAN!M_ProdTag*(JAN!M_Monat=$E30))</f>
        <v>0</v>
      </c>
      <c r="V30" s="236" cm="1">
        <f t="array" ref="V30">SUMPRODUCT((JAN!M_Verweiszeile=$H30)*JAN!M_ProdN1*(JAN!M_Monat=$E30))</f>
        <v>0</v>
      </c>
      <c r="W30" s="236" cm="1">
        <f t="array" ref="W30">SUMPRODUCT((JAN!M_Verweiszeile=$H30)*JAN!M_ProdN2*(JAN!M_Monat=$E30))</f>
        <v>0</v>
      </c>
      <c r="X30" s="236">
        <f t="shared" si="12"/>
        <v>0</v>
      </c>
      <c r="Y30" s="236">
        <f t="shared" si="2"/>
        <v>0</v>
      </c>
      <c r="Z30" s="236">
        <f t="shared" si="3"/>
        <v>0</v>
      </c>
      <c r="AA30" s="236">
        <f t="shared" si="13"/>
        <v>0</v>
      </c>
      <c r="AB30" s="236">
        <f t="shared" si="14"/>
        <v>0</v>
      </c>
      <c r="AC30" s="236">
        <f t="shared" si="15"/>
        <v>0</v>
      </c>
    </row>
    <row r="31" spans="3:29" x14ac:dyDescent="0.2">
      <c r="C31" s="129">
        <v>22</v>
      </c>
      <c r="D31" s="190">
        <f t="shared" si="16"/>
        <v>45313</v>
      </c>
      <c r="E31" s="129">
        <f t="shared" si="4"/>
        <v>1</v>
      </c>
      <c r="F31" s="191">
        <f t="shared" si="5"/>
        <v>45313</v>
      </c>
      <c r="G31" s="129">
        <f t="shared" si="6"/>
        <v>4</v>
      </c>
      <c r="H31" s="129">
        <f t="shared" si="7"/>
        <v>22</v>
      </c>
      <c r="I31" s="129">
        <f t="shared" si="8"/>
        <v>1</v>
      </c>
      <c r="J31" s="192">
        <f t="shared" si="9"/>
        <v>45313</v>
      </c>
      <c r="K31" s="129" t="str" cm="1">
        <f t="array" ref="K31">IF(AND(I31&lt;7,INDEX(B_tblFTMatrix,$E31,$H31)="x"),"ft","")</f>
        <v/>
      </c>
      <c r="L31" s="129"/>
      <c r="M31" s="129"/>
      <c r="N31" s="129">
        <f t="shared" si="0"/>
        <v>1</v>
      </c>
      <c r="O31" s="129">
        <f t="shared" si="10"/>
        <v>1</v>
      </c>
      <c r="P31" s="231">
        <f t="shared" si="1"/>
        <v>8</v>
      </c>
      <c r="Q31" s="233" cm="1">
        <f t="array" ref="Q31">SUMPRODUCT((H_tblBGTage=I31)*(H_tblBGMnt=E31)*H_tblBG%)</f>
        <v>1</v>
      </c>
      <c r="R31" s="231">
        <f t="shared" si="11"/>
        <v>8</v>
      </c>
      <c r="S31" s="237"/>
      <c r="T31" s="237"/>
      <c r="U31" s="236" cm="1">
        <f t="array" ref="U31">SUMPRODUCT((JAN!M_Verweiszeile=$H31)*JAN!M_ProdTag*(JAN!M_Monat=$E31))</f>
        <v>0</v>
      </c>
      <c r="V31" s="236" cm="1">
        <f t="array" ref="V31">SUMPRODUCT((JAN!M_Verweiszeile=$H31)*JAN!M_ProdN1*(JAN!M_Monat=$E31))</f>
        <v>0</v>
      </c>
      <c r="W31" s="236" cm="1">
        <f t="array" ref="W31">SUMPRODUCT((JAN!M_Verweiszeile=$H31)*JAN!M_ProdN2*(JAN!M_Monat=$E31))</f>
        <v>0</v>
      </c>
      <c r="X31" s="236">
        <f t="shared" si="12"/>
        <v>0</v>
      </c>
      <c r="Y31" s="236">
        <f t="shared" si="2"/>
        <v>0</v>
      </c>
      <c r="Z31" s="236">
        <f t="shared" si="3"/>
        <v>0</v>
      </c>
      <c r="AA31" s="236">
        <f t="shared" si="13"/>
        <v>0</v>
      </c>
      <c r="AB31" s="236">
        <f t="shared" si="14"/>
        <v>0</v>
      </c>
      <c r="AC31" s="236">
        <f t="shared" si="15"/>
        <v>0</v>
      </c>
    </row>
    <row r="32" spans="3:29" x14ac:dyDescent="0.2">
      <c r="C32" s="129">
        <v>23</v>
      </c>
      <c r="D32" s="190">
        <f t="shared" si="16"/>
        <v>45314</v>
      </c>
      <c r="E32" s="129">
        <f t="shared" si="4"/>
        <v>1</v>
      </c>
      <c r="F32" s="191">
        <f t="shared" si="5"/>
        <v>45314</v>
      </c>
      <c r="G32" s="129">
        <f t="shared" si="6"/>
        <v>4</v>
      </c>
      <c r="H32" s="129">
        <f t="shared" si="7"/>
        <v>23</v>
      </c>
      <c r="I32" s="129">
        <f t="shared" si="8"/>
        <v>2</v>
      </c>
      <c r="J32" s="192">
        <f t="shared" si="9"/>
        <v>45314</v>
      </c>
      <c r="K32" s="129" t="str" cm="1">
        <f t="array" ref="K32">IF(AND(I32&lt;7,INDEX(B_tblFTMatrix,$E32,$H32)="x"),"ft","")</f>
        <v/>
      </c>
      <c r="L32" s="129"/>
      <c r="M32" s="129"/>
      <c r="N32" s="129">
        <f t="shared" si="0"/>
        <v>1</v>
      </c>
      <c r="O32" s="129">
        <f t="shared" si="10"/>
        <v>1</v>
      </c>
      <c r="P32" s="231">
        <f t="shared" si="1"/>
        <v>8</v>
      </c>
      <c r="Q32" s="233" cm="1">
        <f t="array" ref="Q32">SUMPRODUCT((H_tblBGTage=I32)*(H_tblBGMnt=E32)*H_tblBG%)</f>
        <v>1</v>
      </c>
      <c r="R32" s="231">
        <f t="shared" si="11"/>
        <v>8</v>
      </c>
      <c r="S32" s="237"/>
      <c r="T32" s="237"/>
      <c r="U32" s="236" cm="1">
        <f t="array" ref="U32">SUMPRODUCT((JAN!M_Verweiszeile=$H32)*JAN!M_ProdTag*(JAN!M_Monat=$E32))</f>
        <v>0</v>
      </c>
      <c r="V32" s="236" cm="1">
        <f t="array" ref="V32">SUMPRODUCT((JAN!M_Verweiszeile=$H32)*JAN!M_ProdN1*(JAN!M_Monat=$E32))</f>
        <v>0</v>
      </c>
      <c r="W32" s="236" cm="1">
        <f t="array" ref="W32">SUMPRODUCT((JAN!M_Verweiszeile=$H32)*JAN!M_ProdN2*(JAN!M_Monat=$E32))</f>
        <v>0</v>
      </c>
      <c r="X32" s="236">
        <f t="shared" si="12"/>
        <v>0</v>
      </c>
      <c r="Y32" s="236">
        <f t="shared" si="2"/>
        <v>0</v>
      </c>
      <c r="Z32" s="236">
        <f t="shared" si="3"/>
        <v>0</v>
      </c>
      <c r="AA32" s="236">
        <f t="shared" si="13"/>
        <v>0</v>
      </c>
      <c r="AB32" s="236">
        <f t="shared" si="14"/>
        <v>0</v>
      </c>
      <c r="AC32" s="236">
        <f t="shared" si="15"/>
        <v>0</v>
      </c>
    </row>
    <row r="33" spans="3:29" x14ac:dyDescent="0.2">
      <c r="C33" s="129">
        <v>24</v>
      </c>
      <c r="D33" s="190">
        <f t="shared" si="16"/>
        <v>45315</v>
      </c>
      <c r="E33" s="129">
        <f t="shared" si="4"/>
        <v>1</v>
      </c>
      <c r="F33" s="191">
        <f t="shared" si="5"/>
        <v>45315</v>
      </c>
      <c r="G33" s="129">
        <f t="shared" si="6"/>
        <v>4</v>
      </c>
      <c r="H33" s="129">
        <f t="shared" si="7"/>
        <v>24</v>
      </c>
      <c r="I33" s="129">
        <f t="shared" si="8"/>
        <v>3</v>
      </c>
      <c r="J33" s="192">
        <f t="shared" si="9"/>
        <v>45315</v>
      </c>
      <c r="K33" s="129" t="str" cm="1">
        <f t="array" ref="K33">IF(AND(I33&lt;7,INDEX(B_tblFTMatrix,$E33,$H33)="x"),"ft","")</f>
        <v/>
      </c>
      <c r="L33" s="129"/>
      <c r="M33" s="129"/>
      <c r="N33" s="129">
        <f t="shared" si="0"/>
        <v>1</v>
      </c>
      <c r="O33" s="129">
        <f t="shared" si="10"/>
        <v>1</v>
      </c>
      <c r="P33" s="231">
        <f t="shared" si="1"/>
        <v>8</v>
      </c>
      <c r="Q33" s="233" cm="1">
        <f t="array" ref="Q33">SUMPRODUCT((H_tblBGTage=I33)*(H_tblBGMnt=E33)*H_tblBG%)</f>
        <v>1</v>
      </c>
      <c r="R33" s="231">
        <f t="shared" si="11"/>
        <v>8</v>
      </c>
      <c r="S33" s="237"/>
      <c r="T33" s="237"/>
      <c r="U33" s="236" cm="1">
        <f t="array" ref="U33">SUMPRODUCT((JAN!M_Verweiszeile=$H33)*JAN!M_ProdTag*(JAN!M_Monat=$E33))</f>
        <v>0</v>
      </c>
      <c r="V33" s="236" cm="1">
        <f t="array" ref="V33">SUMPRODUCT((JAN!M_Verweiszeile=$H33)*JAN!M_ProdN1*(JAN!M_Monat=$E33))</f>
        <v>0</v>
      </c>
      <c r="W33" s="236" cm="1">
        <f t="array" ref="W33">SUMPRODUCT((JAN!M_Verweiszeile=$H33)*JAN!M_ProdN2*(JAN!M_Monat=$E33))</f>
        <v>0</v>
      </c>
      <c r="X33" s="236">
        <f t="shared" si="12"/>
        <v>0</v>
      </c>
      <c r="Y33" s="236">
        <f t="shared" si="2"/>
        <v>0</v>
      </c>
      <c r="Z33" s="236">
        <f t="shared" si="3"/>
        <v>0</v>
      </c>
      <c r="AA33" s="236">
        <f t="shared" si="13"/>
        <v>0</v>
      </c>
      <c r="AB33" s="236">
        <f t="shared" si="14"/>
        <v>0</v>
      </c>
      <c r="AC33" s="236">
        <f t="shared" si="15"/>
        <v>0</v>
      </c>
    </row>
    <row r="34" spans="3:29" x14ac:dyDescent="0.2">
      <c r="C34" s="129">
        <v>25</v>
      </c>
      <c r="D34" s="190">
        <f t="shared" si="16"/>
        <v>45316</v>
      </c>
      <c r="E34" s="129">
        <f t="shared" si="4"/>
        <v>1</v>
      </c>
      <c r="F34" s="191">
        <f t="shared" si="5"/>
        <v>45316</v>
      </c>
      <c r="G34" s="129">
        <f t="shared" si="6"/>
        <v>4</v>
      </c>
      <c r="H34" s="129">
        <f t="shared" si="7"/>
        <v>25</v>
      </c>
      <c r="I34" s="129">
        <f t="shared" si="8"/>
        <v>4</v>
      </c>
      <c r="J34" s="192">
        <f t="shared" si="9"/>
        <v>45316</v>
      </c>
      <c r="K34" s="129" t="str" cm="1">
        <f t="array" ref="K34">IF(AND(I34&lt;7,INDEX(B_tblFTMatrix,$E34,$H34)="x"),"ft","")</f>
        <v/>
      </c>
      <c r="L34" s="129"/>
      <c r="M34" s="129"/>
      <c r="N34" s="129">
        <f t="shared" si="0"/>
        <v>1</v>
      </c>
      <c r="O34" s="129">
        <f t="shared" si="10"/>
        <v>1</v>
      </c>
      <c r="P34" s="231">
        <f t="shared" si="1"/>
        <v>8</v>
      </c>
      <c r="Q34" s="233" cm="1">
        <f t="array" ref="Q34">SUMPRODUCT((H_tblBGTage=I34)*(H_tblBGMnt=E34)*H_tblBG%)</f>
        <v>1</v>
      </c>
      <c r="R34" s="231">
        <f t="shared" si="11"/>
        <v>8</v>
      </c>
      <c r="S34" s="237"/>
      <c r="T34" s="237"/>
      <c r="U34" s="236" cm="1">
        <f t="array" ref="U34">SUMPRODUCT((JAN!M_Verweiszeile=$H34)*JAN!M_ProdTag*(JAN!M_Monat=$E34))</f>
        <v>0</v>
      </c>
      <c r="V34" s="236" cm="1">
        <f t="array" ref="V34">SUMPRODUCT((JAN!M_Verweiszeile=$H34)*JAN!M_ProdN1*(JAN!M_Monat=$E34))</f>
        <v>0</v>
      </c>
      <c r="W34" s="236" cm="1">
        <f t="array" ref="W34">SUMPRODUCT((JAN!M_Verweiszeile=$H34)*JAN!M_ProdN2*(JAN!M_Monat=$E34))</f>
        <v>0</v>
      </c>
      <c r="X34" s="236">
        <f t="shared" si="12"/>
        <v>0</v>
      </c>
      <c r="Y34" s="236">
        <f t="shared" si="2"/>
        <v>0</v>
      </c>
      <c r="Z34" s="236">
        <f t="shared" si="3"/>
        <v>0</v>
      </c>
      <c r="AA34" s="236">
        <f t="shared" si="13"/>
        <v>0</v>
      </c>
      <c r="AB34" s="236">
        <f t="shared" si="14"/>
        <v>0</v>
      </c>
      <c r="AC34" s="236">
        <f t="shared" si="15"/>
        <v>0</v>
      </c>
    </row>
    <row r="35" spans="3:29" x14ac:dyDescent="0.2">
      <c r="C35" s="129">
        <v>26</v>
      </c>
      <c r="D35" s="190">
        <f t="shared" si="16"/>
        <v>45317</v>
      </c>
      <c r="E35" s="129">
        <f t="shared" si="4"/>
        <v>1</v>
      </c>
      <c r="F35" s="191">
        <f t="shared" si="5"/>
        <v>45317</v>
      </c>
      <c r="G35" s="129">
        <f t="shared" si="6"/>
        <v>4</v>
      </c>
      <c r="H35" s="129">
        <f t="shared" si="7"/>
        <v>26</v>
      </c>
      <c r="I35" s="129">
        <f t="shared" si="8"/>
        <v>5</v>
      </c>
      <c r="J35" s="192">
        <f t="shared" si="9"/>
        <v>45317</v>
      </c>
      <c r="K35" s="129" t="str" cm="1">
        <f t="array" ref="K35">IF(AND(I35&lt;7,INDEX(B_tblFTMatrix,$E35,$H35)="x"),"ft","")</f>
        <v/>
      </c>
      <c r="L35" s="129"/>
      <c r="M35" s="129"/>
      <c r="N35" s="129">
        <f t="shared" si="0"/>
        <v>1</v>
      </c>
      <c r="O35" s="129">
        <f t="shared" si="10"/>
        <v>1</v>
      </c>
      <c r="P35" s="231">
        <f t="shared" si="1"/>
        <v>8</v>
      </c>
      <c r="Q35" s="233" cm="1">
        <f t="array" ref="Q35">SUMPRODUCT((H_tblBGTage=I35)*(H_tblBGMnt=E35)*H_tblBG%)</f>
        <v>1</v>
      </c>
      <c r="R35" s="231">
        <f t="shared" si="11"/>
        <v>8</v>
      </c>
      <c r="S35" s="237"/>
      <c r="T35" s="237"/>
      <c r="U35" s="236" cm="1">
        <f t="array" ref="U35">SUMPRODUCT((JAN!M_Verweiszeile=$H35)*JAN!M_ProdTag*(JAN!M_Monat=$E35))</f>
        <v>0</v>
      </c>
      <c r="V35" s="236" cm="1">
        <f t="array" ref="V35">SUMPRODUCT((JAN!M_Verweiszeile=$H35)*JAN!M_ProdN1*(JAN!M_Monat=$E35))</f>
        <v>0</v>
      </c>
      <c r="W35" s="236" cm="1">
        <f t="array" ref="W35">SUMPRODUCT((JAN!M_Verweiszeile=$H35)*JAN!M_ProdN2*(JAN!M_Monat=$E35))</f>
        <v>0</v>
      </c>
      <c r="X35" s="236">
        <f t="shared" si="12"/>
        <v>0</v>
      </c>
      <c r="Y35" s="236">
        <f t="shared" si="2"/>
        <v>0</v>
      </c>
      <c r="Z35" s="236">
        <f t="shared" si="3"/>
        <v>0</v>
      </c>
      <c r="AA35" s="236">
        <f t="shared" si="13"/>
        <v>0</v>
      </c>
      <c r="AB35" s="236">
        <f t="shared" si="14"/>
        <v>0</v>
      </c>
      <c r="AC35" s="236">
        <f t="shared" si="15"/>
        <v>0</v>
      </c>
    </row>
    <row r="36" spans="3:29" x14ac:dyDescent="0.2">
      <c r="C36" s="129">
        <v>27</v>
      </c>
      <c r="D36" s="190">
        <f t="shared" si="16"/>
        <v>45318</v>
      </c>
      <c r="E36" s="129">
        <f t="shared" si="4"/>
        <v>1</v>
      </c>
      <c r="F36" s="191">
        <f t="shared" si="5"/>
        <v>45318</v>
      </c>
      <c r="G36" s="129">
        <f t="shared" si="6"/>
        <v>4</v>
      </c>
      <c r="H36" s="129">
        <f t="shared" si="7"/>
        <v>27</v>
      </c>
      <c r="I36" s="129">
        <f t="shared" si="8"/>
        <v>6</v>
      </c>
      <c r="J36" s="192">
        <f t="shared" si="9"/>
        <v>45318</v>
      </c>
      <c r="K36" s="129" t="str" cm="1">
        <f t="array" ref="K36">IF(AND(I36&lt;7,INDEX(B_tblFTMatrix,$E36,$H36)="x"),"ft","")</f>
        <v/>
      </c>
      <c r="L36" s="129"/>
      <c r="M36" s="129"/>
      <c r="N36" s="129">
        <f t="shared" si="0"/>
        <v>0</v>
      </c>
      <c r="O36" s="129">
        <f t="shared" si="10"/>
        <v>0</v>
      </c>
      <c r="P36" s="231">
        <f t="shared" si="1"/>
        <v>0</v>
      </c>
      <c r="Q36" s="233" cm="1">
        <f t="array" ref="Q36">SUMPRODUCT((H_tblBGTage=I36)*(H_tblBGMnt=E36)*H_tblBG%)</f>
        <v>0</v>
      </c>
      <c r="R36" s="231">
        <f t="shared" si="11"/>
        <v>0</v>
      </c>
      <c r="S36" s="237"/>
      <c r="T36" s="237"/>
      <c r="U36" s="236" cm="1">
        <f t="array" ref="U36">SUMPRODUCT((JAN!M_Verweiszeile=$H36)*JAN!M_ProdTag*(JAN!M_Monat=$E36))</f>
        <v>0</v>
      </c>
      <c r="V36" s="236" cm="1">
        <f t="array" ref="V36">SUMPRODUCT((JAN!M_Verweiszeile=$H36)*JAN!M_ProdN1*(JAN!M_Monat=$E36))</f>
        <v>0</v>
      </c>
      <c r="W36" s="236" cm="1">
        <f t="array" ref="W36">SUMPRODUCT((JAN!M_Verweiszeile=$H36)*JAN!M_ProdN2*(JAN!M_Monat=$E36))</f>
        <v>0</v>
      </c>
      <c r="X36" s="236">
        <f t="shared" si="12"/>
        <v>0</v>
      </c>
      <c r="Y36" s="236">
        <f t="shared" si="2"/>
        <v>0</v>
      </c>
      <c r="Z36" s="236">
        <f t="shared" si="3"/>
        <v>0</v>
      </c>
      <c r="AA36" s="236">
        <f t="shared" si="13"/>
        <v>0</v>
      </c>
      <c r="AB36" s="236">
        <f t="shared" si="14"/>
        <v>0</v>
      </c>
      <c r="AC36" s="236">
        <f t="shared" si="15"/>
        <v>0</v>
      </c>
    </row>
    <row r="37" spans="3:29" x14ac:dyDescent="0.2">
      <c r="C37" s="129">
        <v>28</v>
      </c>
      <c r="D37" s="190">
        <f t="shared" si="16"/>
        <v>45319</v>
      </c>
      <c r="E37" s="129">
        <f t="shared" si="4"/>
        <v>1</v>
      </c>
      <c r="F37" s="191">
        <f t="shared" si="5"/>
        <v>45319</v>
      </c>
      <c r="G37" s="129">
        <f t="shared" si="6"/>
        <v>4</v>
      </c>
      <c r="H37" s="129">
        <f t="shared" si="7"/>
        <v>28</v>
      </c>
      <c r="I37" s="129">
        <f t="shared" si="8"/>
        <v>7</v>
      </c>
      <c r="J37" s="192">
        <f t="shared" si="9"/>
        <v>45319</v>
      </c>
      <c r="K37" s="129" t="str" cm="1">
        <f t="array" ref="K37">IF(AND(I37&lt;7,INDEX(B_tblFTMatrix,$E37,$H37)="x"),"ft","")</f>
        <v/>
      </c>
      <c r="L37" s="129"/>
      <c r="M37" s="129"/>
      <c r="N37" s="129">
        <f t="shared" si="0"/>
        <v>0</v>
      </c>
      <c r="O37" s="129">
        <f t="shared" si="10"/>
        <v>0</v>
      </c>
      <c r="P37" s="231">
        <f t="shared" si="1"/>
        <v>0</v>
      </c>
      <c r="Q37" s="233" cm="1">
        <f t="array" ref="Q37">SUMPRODUCT((H_tblBGTage=I37)*(H_tblBGMnt=E37)*H_tblBG%)</f>
        <v>0</v>
      </c>
      <c r="R37" s="231">
        <f t="shared" si="11"/>
        <v>0</v>
      </c>
      <c r="S37" s="237"/>
      <c r="T37" s="237"/>
      <c r="U37" s="236" cm="1">
        <f t="array" ref="U37">SUMPRODUCT((JAN!M_Verweiszeile=$H37)*JAN!M_ProdTag*(JAN!M_Monat=$E37))</f>
        <v>0</v>
      </c>
      <c r="V37" s="236" cm="1">
        <f t="array" ref="V37">SUMPRODUCT((JAN!M_Verweiszeile=$H37)*JAN!M_ProdN1*(JAN!M_Monat=$E37))</f>
        <v>0</v>
      </c>
      <c r="W37" s="236" cm="1">
        <f t="array" ref="W37">SUMPRODUCT((JAN!M_Verweiszeile=$H37)*JAN!M_ProdN2*(JAN!M_Monat=$E37))</f>
        <v>0</v>
      </c>
      <c r="X37" s="236">
        <f t="shared" si="12"/>
        <v>0</v>
      </c>
      <c r="Y37" s="236">
        <f t="shared" si="2"/>
        <v>0</v>
      </c>
      <c r="Z37" s="236">
        <f t="shared" si="3"/>
        <v>0</v>
      </c>
      <c r="AA37" s="236">
        <f t="shared" si="13"/>
        <v>0</v>
      </c>
      <c r="AB37" s="236">
        <f t="shared" si="14"/>
        <v>0</v>
      </c>
      <c r="AC37" s="236">
        <f t="shared" si="15"/>
        <v>0</v>
      </c>
    </row>
    <row r="38" spans="3:29" x14ac:dyDescent="0.2">
      <c r="C38" s="129">
        <v>29</v>
      </c>
      <c r="D38" s="190">
        <f t="shared" si="16"/>
        <v>45320</v>
      </c>
      <c r="E38" s="129">
        <f t="shared" si="4"/>
        <v>1</v>
      </c>
      <c r="F38" s="191">
        <f t="shared" si="5"/>
        <v>45320</v>
      </c>
      <c r="G38" s="129">
        <f t="shared" si="6"/>
        <v>5</v>
      </c>
      <c r="H38" s="129">
        <f t="shared" si="7"/>
        <v>29</v>
      </c>
      <c r="I38" s="129">
        <f t="shared" si="8"/>
        <v>1</v>
      </c>
      <c r="J38" s="192">
        <f t="shared" si="9"/>
        <v>45320</v>
      </c>
      <c r="K38" s="129" t="str" cm="1">
        <f t="array" ref="K38">IF(AND(I38&lt;7,INDEX(B_tblFTMatrix,$E38,$H38)="x"),"ft","")</f>
        <v/>
      </c>
      <c r="L38" s="129"/>
      <c r="M38" s="129"/>
      <c r="N38" s="129">
        <f t="shared" si="0"/>
        <v>1</v>
      </c>
      <c r="O38" s="129">
        <f t="shared" si="10"/>
        <v>1</v>
      </c>
      <c r="P38" s="231">
        <f t="shared" si="1"/>
        <v>8</v>
      </c>
      <c r="Q38" s="233" cm="1">
        <f t="array" ref="Q38">SUMPRODUCT((H_tblBGTage=I38)*(H_tblBGMnt=E38)*H_tblBG%)</f>
        <v>1</v>
      </c>
      <c r="R38" s="231">
        <f t="shared" si="11"/>
        <v>8</v>
      </c>
      <c r="S38" s="237"/>
      <c r="T38" s="237"/>
      <c r="U38" s="236" cm="1">
        <f t="array" ref="U38">SUMPRODUCT((JAN!M_Verweiszeile=$H38)*JAN!M_ProdTag*(JAN!M_Monat=$E38))</f>
        <v>0</v>
      </c>
      <c r="V38" s="236" cm="1">
        <f t="array" ref="V38">SUMPRODUCT((JAN!M_Verweiszeile=$H38)*JAN!M_ProdN1*(JAN!M_Monat=$E38))</f>
        <v>0</v>
      </c>
      <c r="W38" s="236" cm="1">
        <f t="array" ref="W38">SUMPRODUCT((JAN!M_Verweiszeile=$H38)*JAN!M_ProdN2*(JAN!M_Monat=$E38))</f>
        <v>0</v>
      </c>
      <c r="X38" s="236">
        <f t="shared" si="12"/>
        <v>0</v>
      </c>
      <c r="Y38" s="236">
        <f t="shared" si="2"/>
        <v>0</v>
      </c>
      <c r="Z38" s="236">
        <f t="shared" si="3"/>
        <v>0</v>
      </c>
      <c r="AA38" s="236">
        <f t="shared" si="13"/>
        <v>0</v>
      </c>
      <c r="AB38" s="236">
        <f t="shared" si="14"/>
        <v>0</v>
      </c>
      <c r="AC38" s="236">
        <f t="shared" si="15"/>
        <v>0</v>
      </c>
    </row>
    <row r="39" spans="3:29" x14ac:dyDescent="0.2">
      <c r="C39" s="129">
        <v>30</v>
      </c>
      <c r="D39" s="190">
        <f t="shared" si="16"/>
        <v>45321</v>
      </c>
      <c r="E39" s="129">
        <f t="shared" si="4"/>
        <v>1</v>
      </c>
      <c r="F39" s="191">
        <f t="shared" si="5"/>
        <v>45321</v>
      </c>
      <c r="G39" s="129">
        <f t="shared" si="6"/>
        <v>5</v>
      </c>
      <c r="H39" s="129">
        <f t="shared" si="7"/>
        <v>30</v>
      </c>
      <c r="I39" s="129">
        <f t="shared" si="8"/>
        <v>2</v>
      </c>
      <c r="J39" s="192">
        <f t="shared" si="9"/>
        <v>45321</v>
      </c>
      <c r="K39" s="129" t="str" cm="1">
        <f t="array" ref="K39">IF(AND(I39&lt;7,INDEX(B_tblFTMatrix,$E39,$H39)="x"),"ft","")</f>
        <v/>
      </c>
      <c r="L39" s="129"/>
      <c r="M39" s="129"/>
      <c r="N39" s="129">
        <f t="shared" si="0"/>
        <v>1</v>
      </c>
      <c r="O39" s="129">
        <f t="shared" si="10"/>
        <v>1</v>
      </c>
      <c r="P39" s="231">
        <f t="shared" si="1"/>
        <v>8</v>
      </c>
      <c r="Q39" s="233" cm="1">
        <f t="array" ref="Q39">SUMPRODUCT((H_tblBGTage=I39)*(H_tblBGMnt=E39)*H_tblBG%)</f>
        <v>1</v>
      </c>
      <c r="R39" s="231">
        <f t="shared" si="11"/>
        <v>8</v>
      </c>
      <c r="S39" s="237"/>
      <c r="T39" s="237"/>
      <c r="U39" s="236" cm="1">
        <f t="array" ref="U39">SUMPRODUCT((JAN!M_Verweiszeile=$H39)*JAN!M_ProdTag*(JAN!M_Monat=$E39))</f>
        <v>0</v>
      </c>
      <c r="V39" s="236" cm="1">
        <f t="array" ref="V39">SUMPRODUCT((JAN!M_Verweiszeile=$H39)*JAN!M_ProdN1*(JAN!M_Monat=$E39))</f>
        <v>0</v>
      </c>
      <c r="W39" s="236" cm="1">
        <f t="array" ref="W39">SUMPRODUCT((JAN!M_Verweiszeile=$H39)*JAN!M_ProdN2*(JAN!M_Monat=$E39))</f>
        <v>0</v>
      </c>
      <c r="X39" s="236">
        <f t="shared" si="12"/>
        <v>0</v>
      </c>
      <c r="Y39" s="236">
        <f t="shared" si="2"/>
        <v>0</v>
      </c>
      <c r="Z39" s="236">
        <f t="shared" si="3"/>
        <v>0</v>
      </c>
      <c r="AA39" s="236">
        <f t="shared" si="13"/>
        <v>0</v>
      </c>
      <c r="AB39" s="236">
        <f t="shared" si="14"/>
        <v>0</v>
      </c>
      <c r="AC39" s="236">
        <f t="shared" si="15"/>
        <v>0</v>
      </c>
    </row>
    <row r="40" spans="3:29" x14ac:dyDescent="0.2">
      <c r="C40" s="129">
        <v>31</v>
      </c>
      <c r="D40" s="190">
        <f t="shared" si="16"/>
        <v>45322</v>
      </c>
      <c r="E40" s="129">
        <f t="shared" si="4"/>
        <v>1</v>
      </c>
      <c r="F40" s="191">
        <f t="shared" si="5"/>
        <v>45322</v>
      </c>
      <c r="G40" s="129">
        <f t="shared" si="6"/>
        <v>5</v>
      </c>
      <c r="H40" s="129">
        <f t="shared" si="7"/>
        <v>31</v>
      </c>
      <c r="I40" s="129">
        <f t="shared" si="8"/>
        <v>3</v>
      </c>
      <c r="J40" s="192">
        <f t="shared" si="9"/>
        <v>45322</v>
      </c>
      <c r="K40" s="129" t="str" cm="1">
        <f t="array" ref="K40">IF(AND(I40&lt;7,INDEX(B_tblFTMatrix,$E40,$H40)="x"),"ft","")</f>
        <v/>
      </c>
      <c r="L40" s="129"/>
      <c r="M40" s="129"/>
      <c r="N40" s="129">
        <f t="shared" si="0"/>
        <v>1</v>
      </c>
      <c r="O40" s="129">
        <f t="shared" si="10"/>
        <v>1</v>
      </c>
      <c r="P40" s="231">
        <f t="shared" si="1"/>
        <v>8</v>
      </c>
      <c r="Q40" s="233" cm="1">
        <f t="array" ref="Q40">SUMPRODUCT((H_tblBGTage=I40)*(H_tblBGMnt=E40)*H_tblBG%)</f>
        <v>1</v>
      </c>
      <c r="R40" s="231">
        <f t="shared" si="11"/>
        <v>8</v>
      </c>
      <c r="S40" s="237"/>
      <c r="T40" s="237"/>
      <c r="U40" s="236" cm="1">
        <f t="array" ref="U40">SUMPRODUCT((JAN!M_Verweiszeile=$H40)*JAN!M_ProdTag*(JAN!M_Monat=$E40))</f>
        <v>0</v>
      </c>
      <c r="V40" s="236" cm="1">
        <f t="array" ref="V40">SUMPRODUCT((JAN!M_Verweiszeile=$H40)*JAN!M_ProdN1*(JAN!M_Monat=$E40))</f>
        <v>0</v>
      </c>
      <c r="W40" s="236" cm="1">
        <f t="array" ref="W40">SUMPRODUCT((JAN!M_Verweiszeile=$H40)*JAN!M_ProdN2*(JAN!M_Monat=$E40))</f>
        <v>0</v>
      </c>
      <c r="X40" s="236">
        <f t="shared" si="12"/>
        <v>0</v>
      </c>
      <c r="Y40" s="236">
        <f t="shared" si="2"/>
        <v>0</v>
      </c>
      <c r="Z40" s="236">
        <f t="shared" si="3"/>
        <v>0</v>
      </c>
      <c r="AA40" s="236">
        <f t="shared" si="13"/>
        <v>0</v>
      </c>
      <c r="AB40" s="236">
        <f t="shared" si="14"/>
        <v>0</v>
      </c>
      <c r="AC40" s="236">
        <f t="shared" si="15"/>
        <v>0</v>
      </c>
    </row>
    <row r="41" spans="3:29" x14ac:dyDescent="0.2">
      <c r="C41" s="129">
        <v>32</v>
      </c>
      <c r="D41" s="190">
        <f t="shared" si="16"/>
        <v>45323</v>
      </c>
      <c r="E41" s="129">
        <f t="shared" si="4"/>
        <v>2</v>
      </c>
      <c r="F41" s="191">
        <f t="shared" si="5"/>
        <v>45323</v>
      </c>
      <c r="G41" s="129">
        <f t="shared" si="6"/>
        <v>5</v>
      </c>
      <c r="H41" s="129">
        <f t="shared" si="7"/>
        <v>1</v>
      </c>
      <c r="I41" s="129">
        <f t="shared" si="8"/>
        <v>4</v>
      </c>
      <c r="J41" s="192">
        <f t="shared" si="9"/>
        <v>45323</v>
      </c>
      <c r="K41" s="129" t="str" cm="1">
        <f t="array" ref="K41">IF(AND(I41&lt;7,INDEX(B_tblFTMatrix,$E41,$H41)="x"),"ft","")</f>
        <v/>
      </c>
      <c r="L41" s="129"/>
      <c r="M41" s="129"/>
      <c r="N41" s="129">
        <f t="shared" si="0"/>
        <v>1</v>
      </c>
      <c r="O41" s="129">
        <f t="shared" si="10"/>
        <v>1</v>
      </c>
      <c r="P41" s="231">
        <f t="shared" si="1"/>
        <v>8</v>
      </c>
      <c r="Q41" s="233" cm="1">
        <f t="array" ref="Q41">SUMPRODUCT((H_tblBGTage=I41)*(H_tblBGMnt=E41)*H_tblBG%)</f>
        <v>1</v>
      </c>
      <c r="R41" s="231">
        <f t="shared" si="11"/>
        <v>8</v>
      </c>
      <c r="S41" s="237"/>
      <c r="T41" s="237"/>
      <c r="U41" s="319" cm="1">
        <f t="array" ref="U41">SUMPRODUCT((FEB!M_Verweiszeile=$H41)*FEB!M_ProdTag*(FEB!M_Monat=$E41))</f>
        <v>0</v>
      </c>
      <c r="V41" s="236" cm="1">
        <f t="array" ref="V41">SUMPRODUCT((FEB!M_Verweiszeile=$H41)*FEB!M_ProdN1*(FEB!M_Monat=$E41))</f>
        <v>0</v>
      </c>
      <c r="W41" s="236" cm="1">
        <f t="array" ref="W41">SUMPRODUCT((FEB!M_Verweiszeile=$H41)*FEB!M_ProdN2*(FEB!M_Monat=$E41))</f>
        <v>0</v>
      </c>
      <c r="X41" s="236">
        <f t="shared" si="12"/>
        <v>0</v>
      </c>
      <c r="Y41" s="236">
        <f t="shared" si="2"/>
        <v>0</v>
      </c>
      <c r="Z41" s="236">
        <f t="shared" si="3"/>
        <v>0</v>
      </c>
      <c r="AA41" s="236">
        <f t="shared" si="13"/>
        <v>0</v>
      </c>
      <c r="AB41" s="236">
        <f t="shared" si="14"/>
        <v>0</v>
      </c>
      <c r="AC41" s="236">
        <f t="shared" si="15"/>
        <v>0</v>
      </c>
    </row>
    <row r="42" spans="3:29" x14ac:dyDescent="0.2">
      <c r="C42" s="129">
        <v>33</v>
      </c>
      <c r="D42" s="190">
        <f t="shared" si="16"/>
        <v>45324</v>
      </c>
      <c r="E42" s="129">
        <f t="shared" si="4"/>
        <v>2</v>
      </c>
      <c r="F42" s="191">
        <f t="shared" si="5"/>
        <v>45324</v>
      </c>
      <c r="G42" s="129">
        <f t="shared" si="6"/>
        <v>5</v>
      </c>
      <c r="H42" s="129">
        <f t="shared" si="7"/>
        <v>2</v>
      </c>
      <c r="I42" s="129">
        <f t="shared" si="8"/>
        <v>5</v>
      </c>
      <c r="J42" s="192">
        <f t="shared" si="9"/>
        <v>45324</v>
      </c>
      <c r="K42" s="129" t="str" cm="1">
        <f t="array" ref="K42">IF(AND(I42&lt;7,INDEX(B_tblFTMatrix,$E42,$H42)="x"),"ft","")</f>
        <v/>
      </c>
      <c r="L42" s="129"/>
      <c r="M42" s="129"/>
      <c r="N42" s="129">
        <f t="shared" si="0"/>
        <v>1</v>
      </c>
      <c r="O42" s="129">
        <f t="shared" si="10"/>
        <v>1</v>
      </c>
      <c r="P42" s="231">
        <f t="shared" si="1"/>
        <v>8</v>
      </c>
      <c r="Q42" s="233" cm="1">
        <f t="array" ref="Q42">SUMPRODUCT((H_tblBGTage=I42)*(H_tblBGMnt=E42)*H_tblBG%)</f>
        <v>1</v>
      </c>
      <c r="R42" s="231">
        <f t="shared" si="11"/>
        <v>8</v>
      </c>
      <c r="S42" s="237"/>
      <c r="T42" s="237"/>
      <c r="U42" s="236" cm="1">
        <f t="array" ref="U42">SUMPRODUCT((FEB!M_Verweiszeile=$H42)*FEB!M_ProdTag*(FEB!M_Monat=$E42))</f>
        <v>0</v>
      </c>
      <c r="V42" s="236" cm="1">
        <f t="array" ref="V42">SUMPRODUCT((FEB!M_Verweiszeile=$H42)*FEB!M_ProdN1*(FEB!M_Monat=$E42))</f>
        <v>0</v>
      </c>
      <c r="W42" s="236" cm="1">
        <f t="array" ref="W42">SUMPRODUCT((FEB!M_Verweiszeile=$H42)*FEB!M_ProdN2*(FEB!M_Monat=$E42))</f>
        <v>0</v>
      </c>
      <c r="X42" s="236">
        <f t="shared" si="12"/>
        <v>0</v>
      </c>
      <c r="Y42" s="236">
        <f t="shared" si="2"/>
        <v>0</v>
      </c>
      <c r="Z42" s="236">
        <f t="shared" si="3"/>
        <v>0</v>
      </c>
      <c r="AA42" s="236">
        <f t="shared" si="13"/>
        <v>0</v>
      </c>
      <c r="AB42" s="236">
        <f t="shared" si="14"/>
        <v>0</v>
      </c>
      <c r="AC42" s="236">
        <f t="shared" si="15"/>
        <v>0</v>
      </c>
    </row>
    <row r="43" spans="3:29" x14ac:dyDescent="0.2">
      <c r="C43" s="129">
        <v>34</v>
      </c>
      <c r="D43" s="190">
        <f t="shared" si="16"/>
        <v>45325</v>
      </c>
      <c r="E43" s="129">
        <f t="shared" si="4"/>
        <v>2</v>
      </c>
      <c r="F43" s="191">
        <f t="shared" si="5"/>
        <v>45325</v>
      </c>
      <c r="G43" s="129">
        <f t="shared" si="6"/>
        <v>5</v>
      </c>
      <c r="H43" s="129">
        <f t="shared" si="7"/>
        <v>3</v>
      </c>
      <c r="I43" s="129">
        <f t="shared" si="8"/>
        <v>6</v>
      </c>
      <c r="J43" s="192">
        <f t="shared" si="9"/>
        <v>45325</v>
      </c>
      <c r="K43" s="129" t="str" cm="1">
        <f t="array" ref="K43">IF(AND(I43&lt;7,INDEX(B_tblFTMatrix,$E43,$H43)="x"),"ft","")</f>
        <v/>
      </c>
      <c r="L43" s="129"/>
      <c r="M43" s="129"/>
      <c r="N43" s="129">
        <f t="shared" si="0"/>
        <v>0</v>
      </c>
      <c r="O43" s="129">
        <f t="shared" si="10"/>
        <v>0</v>
      </c>
      <c r="P43" s="231">
        <f t="shared" si="1"/>
        <v>0</v>
      </c>
      <c r="Q43" s="233" cm="1">
        <f t="array" ref="Q43">SUMPRODUCT((H_tblBGTage=I43)*(H_tblBGMnt=E43)*H_tblBG%)</f>
        <v>0</v>
      </c>
      <c r="R43" s="231">
        <f t="shared" si="11"/>
        <v>0</v>
      </c>
      <c r="S43" s="237"/>
      <c r="T43" s="237"/>
      <c r="U43" s="236" cm="1">
        <f t="array" ref="U43">SUMPRODUCT((FEB!M_Verweiszeile=$H43)*FEB!M_ProdTag*(FEB!M_Monat=$E43))</f>
        <v>0</v>
      </c>
      <c r="V43" s="236" cm="1">
        <f t="array" ref="V43">SUMPRODUCT((FEB!M_Verweiszeile=$H43)*FEB!M_ProdN1*(FEB!M_Monat=$E43))</f>
        <v>0</v>
      </c>
      <c r="W43" s="236" cm="1">
        <f t="array" ref="W43">SUMPRODUCT((FEB!M_Verweiszeile=$H43)*FEB!M_ProdN2*(FEB!M_Monat=$E43))</f>
        <v>0</v>
      </c>
      <c r="X43" s="236">
        <f t="shared" si="12"/>
        <v>0</v>
      </c>
      <c r="Y43" s="236">
        <f t="shared" si="2"/>
        <v>0</v>
      </c>
      <c r="Z43" s="236">
        <f t="shared" si="3"/>
        <v>0</v>
      </c>
      <c r="AA43" s="236">
        <f t="shared" si="13"/>
        <v>0</v>
      </c>
      <c r="AB43" s="236">
        <f t="shared" si="14"/>
        <v>0</v>
      </c>
      <c r="AC43" s="236">
        <f t="shared" si="15"/>
        <v>0</v>
      </c>
    </row>
    <row r="44" spans="3:29" x14ac:dyDescent="0.2">
      <c r="C44" s="129">
        <v>35</v>
      </c>
      <c r="D44" s="190">
        <f t="shared" si="16"/>
        <v>45326</v>
      </c>
      <c r="E44" s="129">
        <f t="shared" si="4"/>
        <v>2</v>
      </c>
      <c r="F44" s="191">
        <f t="shared" si="5"/>
        <v>45326</v>
      </c>
      <c r="G44" s="129">
        <f t="shared" si="6"/>
        <v>5</v>
      </c>
      <c r="H44" s="129">
        <f t="shared" si="7"/>
        <v>4</v>
      </c>
      <c r="I44" s="129">
        <f t="shared" si="8"/>
        <v>7</v>
      </c>
      <c r="J44" s="192">
        <f t="shared" si="9"/>
        <v>45326</v>
      </c>
      <c r="K44" s="129" t="str" cm="1">
        <f t="array" ref="K44">IF(AND(I44&lt;7,INDEX(B_tblFTMatrix,$E44,$H44)="x"),"ft","")</f>
        <v/>
      </c>
      <c r="L44" s="129"/>
      <c r="M44" s="129"/>
      <c r="N44" s="129">
        <f t="shared" si="0"/>
        <v>0</v>
      </c>
      <c r="O44" s="129">
        <f t="shared" si="10"/>
        <v>0</v>
      </c>
      <c r="P44" s="231">
        <f t="shared" si="1"/>
        <v>0</v>
      </c>
      <c r="Q44" s="233" cm="1">
        <f t="array" ref="Q44">SUMPRODUCT((H_tblBGTage=I44)*(H_tblBGMnt=E44)*H_tblBG%)</f>
        <v>0</v>
      </c>
      <c r="R44" s="231">
        <f t="shared" si="11"/>
        <v>0</v>
      </c>
      <c r="S44" s="237"/>
      <c r="T44" s="237"/>
      <c r="U44" s="236" cm="1">
        <f t="array" ref="U44">SUMPRODUCT((FEB!M_Verweiszeile=$H44)*FEB!M_ProdTag*(FEB!M_Monat=$E44))</f>
        <v>0</v>
      </c>
      <c r="V44" s="236" cm="1">
        <f t="array" ref="V44">SUMPRODUCT((FEB!M_Verweiszeile=$H44)*FEB!M_ProdN1*(FEB!M_Monat=$E44))</f>
        <v>0</v>
      </c>
      <c r="W44" s="236" cm="1">
        <f t="array" ref="W44">SUMPRODUCT((FEB!M_Verweiszeile=$H44)*FEB!M_ProdN2*(FEB!M_Monat=$E44))</f>
        <v>0</v>
      </c>
      <c r="X44" s="236">
        <f t="shared" si="12"/>
        <v>0</v>
      </c>
      <c r="Y44" s="236">
        <f t="shared" si="2"/>
        <v>0</v>
      </c>
      <c r="Z44" s="236">
        <f t="shared" si="3"/>
        <v>0</v>
      </c>
      <c r="AA44" s="236">
        <f t="shared" si="13"/>
        <v>0</v>
      </c>
      <c r="AB44" s="236">
        <f t="shared" si="14"/>
        <v>0</v>
      </c>
      <c r="AC44" s="236">
        <f t="shared" si="15"/>
        <v>0</v>
      </c>
    </row>
    <row r="45" spans="3:29" x14ac:dyDescent="0.2">
      <c r="C45" s="129">
        <v>36</v>
      </c>
      <c r="D45" s="190">
        <f t="shared" si="16"/>
        <v>45327</v>
      </c>
      <c r="E45" s="129">
        <f t="shared" si="4"/>
        <v>2</v>
      </c>
      <c r="F45" s="191">
        <f t="shared" si="5"/>
        <v>45327</v>
      </c>
      <c r="G45" s="129">
        <f t="shared" si="6"/>
        <v>6</v>
      </c>
      <c r="H45" s="129">
        <f t="shared" si="7"/>
        <v>5</v>
      </c>
      <c r="I45" s="129">
        <f t="shared" si="8"/>
        <v>1</v>
      </c>
      <c r="J45" s="192">
        <f t="shared" si="9"/>
        <v>45327</v>
      </c>
      <c r="K45" s="129" t="str" cm="1">
        <f t="array" ref="K45">IF(AND(I45&lt;7,INDEX(B_tblFTMatrix,$E45,$H45)="x"),"ft","")</f>
        <v/>
      </c>
      <c r="L45" s="129"/>
      <c r="M45" s="129"/>
      <c r="N45" s="129">
        <f t="shared" si="0"/>
        <v>1</v>
      </c>
      <c r="O45" s="129">
        <f t="shared" si="10"/>
        <v>1</v>
      </c>
      <c r="P45" s="231">
        <f t="shared" si="1"/>
        <v>8</v>
      </c>
      <c r="Q45" s="233" cm="1">
        <f t="array" ref="Q45">SUMPRODUCT((H_tblBGTage=I45)*(H_tblBGMnt=E45)*H_tblBG%)</f>
        <v>1</v>
      </c>
      <c r="R45" s="231">
        <f t="shared" si="11"/>
        <v>8</v>
      </c>
      <c r="S45" s="237"/>
      <c r="T45" s="237"/>
      <c r="U45" s="236" cm="1">
        <f t="array" ref="U45">SUMPRODUCT((FEB!M_Verweiszeile=$H45)*FEB!M_ProdTag*(FEB!M_Monat=$E45))</f>
        <v>0</v>
      </c>
      <c r="V45" s="236" cm="1">
        <f t="array" ref="V45">SUMPRODUCT((FEB!M_Verweiszeile=$H45)*FEB!M_ProdN1*(FEB!M_Monat=$E45))</f>
        <v>0</v>
      </c>
      <c r="W45" s="236" cm="1">
        <f t="array" ref="W45">SUMPRODUCT((FEB!M_Verweiszeile=$H45)*FEB!M_ProdN2*(FEB!M_Monat=$E45))</f>
        <v>0</v>
      </c>
      <c r="X45" s="236">
        <f t="shared" si="12"/>
        <v>0</v>
      </c>
      <c r="Y45" s="236">
        <f t="shared" si="2"/>
        <v>0</v>
      </c>
      <c r="Z45" s="236">
        <f t="shared" si="3"/>
        <v>0</v>
      </c>
      <c r="AA45" s="236">
        <f t="shared" si="13"/>
        <v>0</v>
      </c>
      <c r="AB45" s="236">
        <f t="shared" si="14"/>
        <v>0</v>
      </c>
      <c r="AC45" s="236">
        <f t="shared" si="15"/>
        <v>0</v>
      </c>
    </row>
    <row r="46" spans="3:29" x14ac:dyDescent="0.2">
      <c r="C46" s="129">
        <v>37</v>
      </c>
      <c r="D46" s="190">
        <f t="shared" si="16"/>
        <v>45328</v>
      </c>
      <c r="E46" s="129">
        <f t="shared" si="4"/>
        <v>2</v>
      </c>
      <c r="F46" s="191">
        <f t="shared" si="5"/>
        <v>45328</v>
      </c>
      <c r="G46" s="129">
        <f t="shared" si="6"/>
        <v>6</v>
      </c>
      <c r="H46" s="129">
        <f t="shared" si="7"/>
        <v>6</v>
      </c>
      <c r="I46" s="129">
        <f t="shared" si="8"/>
        <v>2</v>
      </c>
      <c r="J46" s="192">
        <f t="shared" si="9"/>
        <v>45328</v>
      </c>
      <c r="K46" s="129" t="str" cm="1">
        <f t="array" ref="K46">IF(AND(I46&lt;7,INDEX(B_tblFTMatrix,$E46,$H46)="x"),"ft","")</f>
        <v/>
      </c>
      <c r="L46" s="129"/>
      <c r="M46" s="129"/>
      <c r="N46" s="129">
        <f t="shared" si="0"/>
        <v>1</v>
      </c>
      <c r="O46" s="129">
        <f t="shared" si="10"/>
        <v>1</v>
      </c>
      <c r="P46" s="231">
        <f t="shared" si="1"/>
        <v>8</v>
      </c>
      <c r="Q46" s="233" cm="1">
        <f t="array" ref="Q46">SUMPRODUCT((H_tblBGTage=I46)*(H_tblBGMnt=E46)*H_tblBG%)</f>
        <v>1</v>
      </c>
      <c r="R46" s="231">
        <f t="shared" si="11"/>
        <v>8</v>
      </c>
      <c r="S46" s="237"/>
      <c r="T46" s="237"/>
      <c r="U46" s="236" cm="1">
        <f t="array" ref="U46">SUMPRODUCT((FEB!M_Verweiszeile=$H46)*FEB!M_ProdTag*(FEB!M_Monat=$E46))</f>
        <v>0</v>
      </c>
      <c r="V46" s="236" cm="1">
        <f t="array" ref="V46">SUMPRODUCT((FEB!M_Verweiszeile=$H46)*FEB!M_ProdN1*(FEB!M_Monat=$E46))</f>
        <v>0</v>
      </c>
      <c r="W46" s="236" cm="1">
        <f t="array" ref="W46">SUMPRODUCT((FEB!M_Verweiszeile=$H46)*FEB!M_ProdN2*(FEB!M_Monat=$E46))</f>
        <v>0</v>
      </c>
      <c r="X46" s="236">
        <f t="shared" si="12"/>
        <v>0</v>
      </c>
      <c r="Y46" s="236">
        <f t="shared" si="2"/>
        <v>0</v>
      </c>
      <c r="Z46" s="236">
        <f t="shared" si="3"/>
        <v>0</v>
      </c>
      <c r="AA46" s="236">
        <f t="shared" si="13"/>
        <v>0</v>
      </c>
      <c r="AB46" s="236">
        <f t="shared" si="14"/>
        <v>0</v>
      </c>
      <c r="AC46" s="236">
        <f t="shared" si="15"/>
        <v>0</v>
      </c>
    </row>
    <row r="47" spans="3:29" x14ac:dyDescent="0.2">
      <c r="C47" s="129">
        <v>38</v>
      </c>
      <c r="D47" s="190">
        <f t="shared" si="16"/>
        <v>45329</v>
      </c>
      <c r="E47" s="129">
        <f t="shared" si="4"/>
        <v>2</v>
      </c>
      <c r="F47" s="191">
        <f t="shared" si="5"/>
        <v>45329</v>
      </c>
      <c r="G47" s="129">
        <f t="shared" si="6"/>
        <v>6</v>
      </c>
      <c r="H47" s="129">
        <f t="shared" si="7"/>
        <v>7</v>
      </c>
      <c r="I47" s="129">
        <f t="shared" si="8"/>
        <v>3</v>
      </c>
      <c r="J47" s="192">
        <f t="shared" si="9"/>
        <v>45329</v>
      </c>
      <c r="K47" s="129" t="str" cm="1">
        <f t="array" ref="K47">IF(AND(I47&lt;7,INDEX(B_tblFTMatrix,$E47,$H47)="x"),"ft","")</f>
        <v/>
      </c>
      <c r="L47" s="129"/>
      <c r="M47" s="129"/>
      <c r="N47" s="129">
        <f t="shared" si="0"/>
        <v>1</v>
      </c>
      <c r="O47" s="129">
        <f t="shared" si="10"/>
        <v>1</v>
      </c>
      <c r="P47" s="231">
        <f t="shared" si="1"/>
        <v>8</v>
      </c>
      <c r="Q47" s="233" cm="1">
        <f t="array" ref="Q47">SUMPRODUCT((H_tblBGTage=I47)*(H_tblBGMnt=E47)*H_tblBG%)</f>
        <v>1</v>
      </c>
      <c r="R47" s="231">
        <f t="shared" si="11"/>
        <v>8</v>
      </c>
      <c r="S47" s="237"/>
      <c r="T47" s="237"/>
      <c r="U47" s="236" cm="1">
        <f t="array" ref="U47">SUMPRODUCT((FEB!M_Verweiszeile=$H47)*FEB!M_ProdTag*(FEB!M_Monat=$E47))</f>
        <v>0</v>
      </c>
      <c r="V47" s="236" cm="1">
        <f t="array" ref="V47">SUMPRODUCT((FEB!M_Verweiszeile=$H47)*FEB!M_ProdN1*(FEB!M_Monat=$E47))</f>
        <v>0</v>
      </c>
      <c r="W47" s="236" cm="1">
        <f t="array" ref="W47">SUMPRODUCT((FEB!M_Verweiszeile=$H47)*FEB!M_ProdN2*(FEB!M_Monat=$E47))</f>
        <v>0</v>
      </c>
      <c r="X47" s="236">
        <f t="shared" si="12"/>
        <v>0</v>
      </c>
      <c r="Y47" s="236">
        <f t="shared" si="2"/>
        <v>0</v>
      </c>
      <c r="Z47" s="236">
        <f t="shared" si="3"/>
        <v>0</v>
      </c>
      <c r="AA47" s="236">
        <f t="shared" si="13"/>
        <v>0</v>
      </c>
      <c r="AB47" s="236">
        <f t="shared" si="14"/>
        <v>0</v>
      </c>
      <c r="AC47" s="236">
        <f t="shared" si="15"/>
        <v>0</v>
      </c>
    </row>
    <row r="48" spans="3:29" x14ac:dyDescent="0.2">
      <c r="C48" s="129">
        <v>39</v>
      </c>
      <c r="D48" s="190">
        <f t="shared" si="16"/>
        <v>45330</v>
      </c>
      <c r="E48" s="129">
        <f t="shared" si="4"/>
        <v>2</v>
      </c>
      <c r="F48" s="191">
        <f t="shared" si="5"/>
        <v>45330</v>
      </c>
      <c r="G48" s="129">
        <f t="shared" si="6"/>
        <v>6</v>
      </c>
      <c r="H48" s="129">
        <f t="shared" si="7"/>
        <v>8</v>
      </c>
      <c r="I48" s="129">
        <f t="shared" si="8"/>
        <v>4</v>
      </c>
      <c r="J48" s="192">
        <f t="shared" si="9"/>
        <v>45330</v>
      </c>
      <c r="K48" s="129" t="str" cm="1">
        <f t="array" ref="K48">IF(AND(I48&lt;7,INDEX(B_tblFTMatrix,$E48,$H48)="x"),"ft","")</f>
        <v/>
      </c>
      <c r="L48" s="129"/>
      <c r="M48" s="129"/>
      <c r="N48" s="129">
        <f t="shared" si="0"/>
        <v>1</v>
      </c>
      <c r="O48" s="129">
        <f t="shared" si="10"/>
        <v>1</v>
      </c>
      <c r="P48" s="231">
        <f t="shared" si="1"/>
        <v>8</v>
      </c>
      <c r="Q48" s="233" cm="1">
        <f t="array" ref="Q48">SUMPRODUCT((H_tblBGTage=I48)*(H_tblBGMnt=E48)*H_tblBG%)</f>
        <v>1</v>
      </c>
      <c r="R48" s="231">
        <f t="shared" si="11"/>
        <v>8</v>
      </c>
      <c r="S48" s="237"/>
      <c r="T48" s="237"/>
      <c r="U48" s="236" cm="1">
        <f t="array" ref="U48">SUMPRODUCT((FEB!M_Verweiszeile=$H48)*FEB!M_ProdTag*(FEB!M_Monat=$E48))</f>
        <v>0</v>
      </c>
      <c r="V48" s="236" cm="1">
        <f t="array" ref="V48">SUMPRODUCT((FEB!M_Verweiszeile=$H48)*FEB!M_ProdN1*(FEB!M_Monat=$E48))</f>
        <v>0</v>
      </c>
      <c r="W48" s="236" cm="1">
        <f t="array" ref="W48">SUMPRODUCT((FEB!M_Verweiszeile=$H48)*FEB!M_ProdN2*(FEB!M_Monat=$E48))</f>
        <v>0</v>
      </c>
      <c r="X48" s="236">
        <f t="shared" si="12"/>
        <v>0</v>
      </c>
      <c r="Y48" s="236">
        <f t="shared" si="2"/>
        <v>0</v>
      </c>
      <c r="Z48" s="236">
        <f t="shared" si="3"/>
        <v>0</v>
      </c>
      <c r="AA48" s="236">
        <f t="shared" si="13"/>
        <v>0</v>
      </c>
      <c r="AB48" s="236">
        <f t="shared" si="14"/>
        <v>0</v>
      </c>
      <c r="AC48" s="236">
        <f t="shared" si="15"/>
        <v>0</v>
      </c>
    </row>
    <row r="49" spans="3:29" x14ac:dyDescent="0.2">
      <c r="C49" s="129">
        <v>40</v>
      </c>
      <c r="D49" s="190">
        <f t="shared" si="16"/>
        <v>45331</v>
      </c>
      <c r="E49" s="129">
        <f t="shared" si="4"/>
        <v>2</v>
      </c>
      <c r="F49" s="191">
        <f t="shared" si="5"/>
        <v>45331</v>
      </c>
      <c r="G49" s="129">
        <f t="shared" si="6"/>
        <v>6</v>
      </c>
      <c r="H49" s="129">
        <f t="shared" si="7"/>
        <v>9</v>
      </c>
      <c r="I49" s="129">
        <f t="shared" si="8"/>
        <v>5</v>
      </c>
      <c r="J49" s="192">
        <f t="shared" si="9"/>
        <v>45331</v>
      </c>
      <c r="K49" s="129" t="str" cm="1">
        <f t="array" ref="K49">IF(AND(I49&lt;7,INDEX(B_tblFTMatrix,$E49,$H49)="x"),"ft","")</f>
        <v/>
      </c>
      <c r="L49" s="129"/>
      <c r="M49" s="129"/>
      <c r="N49" s="129">
        <f t="shared" si="0"/>
        <v>1</v>
      </c>
      <c r="O49" s="129">
        <f t="shared" si="10"/>
        <v>1</v>
      </c>
      <c r="P49" s="231">
        <f t="shared" si="1"/>
        <v>8</v>
      </c>
      <c r="Q49" s="233" cm="1">
        <f t="array" ref="Q49">SUMPRODUCT((H_tblBGTage=I49)*(H_tblBGMnt=E49)*H_tblBG%)</f>
        <v>1</v>
      </c>
      <c r="R49" s="231">
        <f t="shared" si="11"/>
        <v>8</v>
      </c>
      <c r="S49" s="237"/>
      <c r="T49" s="237"/>
      <c r="U49" s="236" cm="1">
        <f t="array" ref="U49">SUMPRODUCT((FEB!M_Verweiszeile=$H49)*FEB!M_ProdTag*(FEB!M_Monat=$E49))</f>
        <v>0</v>
      </c>
      <c r="V49" s="236" cm="1">
        <f t="array" ref="V49">SUMPRODUCT((FEB!M_Verweiszeile=$H49)*FEB!M_ProdN1*(FEB!M_Monat=$E49))</f>
        <v>0</v>
      </c>
      <c r="W49" s="236" cm="1">
        <f t="array" ref="W49">SUMPRODUCT((FEB!M_Verweiszeile=$H49)*FEB!M_ProdN2*(FEB!M_Monat=$E49))</f>
        <v>0</v>
      </c>
      <c r="X49" s="236">
        <f t="shared" si="12"/>
        <v>0</v>
      </c>
      <c r="Y49" s="236">
        <f t="shared" si="2"/>
        <v>0</v>
      </c>
      <c r="Z49" s="236">
        <f t="shared" si="3"/>
        <v>0</v>
      </c>
      <c r="AA49" s="236">
        <f t="shared" si="13"/>
        <v>0</v>
      </c>
      <c r="AB49" s="236">
        <f t="shared" si="14"/>
        <v>0</v>
      </c>
      <c r="AC49" s="236">
        <f t="shared" si="15"/>
        <v>0</v>
      </c>
    </row>
    <row r="50" spans="3:29" x14ac:dyDescent="0.2">
      <c r="C50" s="129">
        <v>41</v>
      </c>
      <c r="D50" s="190">
        <f t="shared" si="16"/>
        <v>45332</v>
      </c>
      <c r="E50" s="129">
        <f t="shared" si="4"/>
        <v>2</v>
      </c>
      <c r="F50" s="191">
        <f t="shared" si="5"/>
        <v>45332</v>
      </c>
      <c r="G50" s="129">
        <f t="shared" si="6"/>
        <v>6</v>
      </c>
      <c r="H50" s="129">
        <f t="shared" si="7"/>
        <v>10</v>
      </c>
      <c r="I50" s="129">
        <f t="shared" si="8"/>
        <v>6</v>
      </c>
      <c r="J50" s="192">
        <f t="shared" si="9"/>
        <v>45332</v>
      </c>
      <c r="K50" s="129" t="str" cm="1">
        <f t="array" ref="K50">IF(AND(I50&lt;7,INDEX(B_tblFTMatrix,$E50,$H50)="x"),"ft","")</f>
        <v/>
      </c>
      <c r="L50" s="129"/>
      <c r="M50" s="129"/>
      <c r="N50" s="129">
        <f t="shared" si="0"/>
        <v>0</v>
      </c>
      <c r="O50" s="129">
        <f t="shared" si="10"/>
        <v>0</v>
      </c>
      <c r="P50" s="231">
        <f t="shared" si="1"/>
        <v>0</v>
      </c>
      <c r="Q50" s="233" cm="1">
        <f t="array" ref="Q50">SUMPRODUCT((H_tblBGTage=I50)*(H_tblBGMnt=E50)*H_tblBG%)</f>
        <v>0</v>
      </c>
      <c r="R50" s="231">
        <f t="shared" si="11"/>
        <v>0</v>
      </c>
      <c r="S50" s="237"/>
      <c r="T50" s="237"/>
      <c r="U50" s="236" cm="1">
        <f t="array" ref="U50">SUMPRODUCT((FEB!M_Verweiszeile=$H50)*FEB!M_ProdTag*(FEB!M_Monat=$E50))</f>
        <v>0</v>
      </c>
      <c r="V50" s="236" cm="1">
        <f t="array" ref="V50">SUMPRODUCT((FEB!M_Verweiszeile=$H50)*FEB!M_ProdN1*(FEB!M_Monat=$E50))</f>
        <v>0</v>
      </c>
      <c r="W50" s="236" cm="1">
        <f t="array" ref="W50">SUMPRODUCT((FEB!M_Verweiszeile=$H50)*FEB!M_ProdN2*(FEB!M_Monat=$E50))</f>
        <v>0</v>
      </c>
      <c r="X50" s="236">
        <f t="shared" si="12"/>
        <v>0</v>
      </c>
      <c r="Y50" s="236">
        <f t="shared" si="2"/>
        <v>0</v>
      </c>
      <c r="Z50" s="236">
        <f t="shared" si="3"/>
        <v>0</v>
      </c>
      <c r="AA50" s="236">
        <f t="shared" si="13"/>
        <v>0</v>
      </c>
      <c r="AB50" s="236">
        <f t="shared" si="14"/>
        <v>0</v>
      </c>
      <c r="AC50" s="236">
        <f t="shared" si="15"/>
        <v>0</v>
      </c>
    </row>
    <row r="51" spans="3:29" x14ac:dyDescent="0.2">
      <c r="C51" s="129">
        <v>42</v>
      </c>
      <c r="D51" s="190">
        <f t="shared" si="16"/>
        <v>45333</v>
      </c>
      <c r="E51" s="129">
        <f t="shared" si="4"/>
        <v>2</v>
      </c>
      <c r="F51" s="191">
        <f t="shared" si="5"/>
        <v>45333</v>
      </c>
      <c r="G51" s="129">
        <f t="shared" si="6"/>
        <v>6</v>
      </c>
      <c r="H51" s="129">
        <f t="shared" si="7"/>
        <v>11</v>
      </c>
      <c r="I51" s="129">
        <f t="shared" si="8"/>
        <v>7</v>
      </c>
      <c r="J51" s="192">
        <f t="shared" si="9"/>
        <v>45333</v>
      </c>
      <c r="K51" s="129" t="str" cm="1">
        <f t="array" ref="K51">IF(AND(I51&lt;7,INDEX(B_tblFTMatrix,$E51,$H51)="x"),"ft","")</f>
        <v/>
      </c>
      <c r="L51" s="129"/>
      <c r="M51" s="129"/>
      <c r="N51" s="129">
        <f t="shared" si="0"/>
        <v>0</v>
      </c>
      <c r="O51" s="129">
        <f t="shared" si="10"/>
        <v>0</v>
      </c>
      <c r="P51" s="231">
        <f t="shared" si="1"/>
        <v>0</v>
      </c>
      <c r="Q51" s="233" cm="1">
        <f t="array" ref="Q51">SUMPRODUCT((H_tblBGTage=I51)*(H_tblBGMnt=E51)*H_tblBG%)</f>
        <v>0</v>
      </c>
      <c r="R51" s="231">
        <f t="shared" si="11"/>
        <v>0</v>
      </c>
      <c r="S51" s="237"/>
      <c r="T51" s="237"/>
      <c r="U51" s="236" cm="1">
        <f t="array" ref="U51">SUMPRODUCT((FEB!M_Verweiszeile=$H51)*FEB!M_ProdTag*(FEB!M_Monat=$E51))</f>
        <v>0</v>
      </c>
      <c r="V51" s="236" cm="1">
        <f t="array" ref="V51">SUMPRODUCT((FEB!M_Verweiszeile=$H51)*FEB!M_ProdN1*(FEB!M_Monat=$E51))</f>
        <v>0</v>
      </c>
      <c r="W51" s="236" cm="1">
        <f t="array" ref="W51">SUMPRODUCT((FEB!M_Verweiszeile=$H51)*FEB!M_ProdN2*(FEB!M_Monat=$E51))</f>
        <v>0</v>
      </c>
      <c r="X51" s="236">
        <f t="shared" si="12"/>
        <v>0</v>
      </c>
      <c r="Y51" s="236">
        <f t="shared" si="2"/>
        <v>0</v>
      </c>
      <c r="Z51" s="236">
        <f t="shared" si="3"/>
        <v>0</v>
      </c>
      <c r="AA51" s="236">
        <f t="shared" si="13"/>
        <v>0</v>
      </c>
      <c r="AB51" s="236">
        <f t="shared" si="14"/>
        <v>0</v>
      </c>
      <c r="AC51" s="236">
        <f t="shared" si="15"/>
        <v>0</v>
      </c>
    </row>
    <row r="52" spans="3:29" x14ac:dyDescent="0.2">
      <c r="C52" s="129">
        <v>43</v>
      </c>
      <c r="D52" s="190">
        <f t="shared" si="16"/>
        <v>45334</v>
      </c>
      <c r="E52" s="129">
        <f t="shared" si="4"/>
        <v>2</v>
      </c>
      <c r="F52" s="191">
        <f t="shared" si="5"/>
        <v>45334</v>
      </c>
      <c r="G52" s="129">
        <f t="shared" si="6"/>
        <v>7</v>
      </c>
      <c r="H52" s="129">
        <f t="shared" si="7"/>
        <v>12</v>
      </c>
      <c r="I52" s="129">
        <f t="shared" si="8"/>
        <v>1</v>
      </c>
      <c r="J52" s="192">
        <f t="shared" si="9"/>
        <v>45334</v>
      </c>
      <c r="K52" s="129" t="str" cm="1">
        <f t="array" ref="K52">IF(AND(I52&lt;7,INDEX(B_tblFTMatrix,$E52,$H52)="x"),"ft","")</f>
        <v/>
      </c>
      <c r="L52" s="129"/>
      <c r="M52" s="129"/>
      <c r="N52" s="129">
        <f t="shared" si="0"/>
        <v>1</v>
      </c>
      <c r="O52" s="129">
        <f t="shared" si="10"/>
        <v>1</v>
      </c>
      <c r="P52" s="231">
        <f t="shared" si="1"/>
        <v>8</v>
      </c>
      <c r="Q52" s="233" cm="1">
        <f t="array" ref="Q52">SUMPRODUCT((H_tblBGTage=I52)*(H_tblBGMnt=E52)*H_tblBG%)</f>
        <v>1</v>
      </c>
      <c r="R52" s="231">
        <f t="shared" si="11"/>
        <v>8</v>
      </c>
      <c r="S52" s="237"/>
      <c r="T52" s="237"/>
      <c r="U52" s="236" cm="1">
        <f t="array" ref="U52">SUMPRODUCT((FEB!M_Verweiszeile=$H52)*FEB!M_ProdTag*(FEB!M_Monat=$E52))</f>
        <v>0</v>
      </c>
      <c r="V52" s="236" cm="1">
        <f t="array" ref="V52">SUMPRODUCT((FEB!M_Verweiszeile=$H52)*FEB!M_ProdN1*(FEB!M_Monat=$E52))</f>
        <v>0</v>
      </c>
      <c r="W52" s="236" cm="1">
        <f t="array" ref="W52">SUMPRODUCT((FEB!M_Verweiszeile=$H52)*FEB!M_ProdN2*(FEB!M_Monat=$E52))</f>
        <v>0</v>
      </c>
      <c r="X52" s="236">
        <f t="shared" si="12"/>
        <v>0</v>
      </c>
      <c r="Y52" s="236">
        <f t="shared" si="2"/>
        <v>0</v>
      </c>
      <c r="Z52" s="236">
        <f t="shared" si="3"/>
        <v>0</v>
      </c>
      <c r="AA52" s="236">
        <f t="shared" si="13"/>
        <v>0</v>
      </c>
      <c r="AB52" s="236">
        <f t="shared" si="14"/>
        <v>0</v>
      </c>
      <c r="AC52" s="236">
        <f t="shared" si="15"/>
        <v>0</v>
      </c>
    </row>
    <row r="53" spans="3:29" x14ac:dyDescent="0.2">
      <c r="C53" s="129">
        <v>44</v>
      </c>
      <c r="D53" s="190">
        <f t="shared" si="16"/>
        <v>45335</v>
      </c>
      <c r="E53" s="129">
        <f t="shared" si="4"/>
        <v>2</v>
      </c>
      <c r="F53" s="191">
        <f t="shared" si="5"/>
        <v>45335</v>
      </c>
      <c r="G53" s="129">
        <f t="shared" si="6"/>
        <v>7</v>
      </c>
      <c r="H53" s="129">
        <f t="shared" si="7"/>
        <v>13</v>
      </c>
      <c r="I53" s="129">
        <f t="shared" si="8"/>
        <v>2</v>
      </c>
      <c r="J53" s="192">
        <f t="shared" si="9"/>
        <v>45335</v>
      </c>
      <c r="K53" s="129" t="str" cm="1">
        <f t="array" ref="K53">IF(AND(I53&lt;7,INDEX(B_tblFTMatrix,$E53,$H53)="x"),"ft","")</f>
        <v/>
      </c>
      <c r="L53" s="129"/>
      <c r="M53" s="129"/>
      <c r="N53" s="129">
        <f t="shared" si="0"/>
        <v>1</v>
      </c>
      <c r="O53" s="129">
        <f t="shared" si="10"/>
        <v>1</v>
      </c>
      <c r="P53" s="231">
        <f t="shared" si="1"/>
        <v>8</v>
      </c>
      <c r="Q53" s="233" cm="1">
        <f t="array" ref="Q53">SUMPRODUCT((H_tblBGTage=I53)*(H_tblBGMnt=E53)*H_tblBG%)</f>
        <v>1</v>
      </c>
      <c r="R53" s="231">
        <f t="shared" si="11"/>
        <v>8</v>
      </c>
      <c r="S53" s="237"/>
      <c r="T53" s="237"/>
      <c r="U53" s="236" cm="1">
        <f t="array" ref="U53">SUMPRODUCT((FEB!M_Verweiszeile=$H53)*FEB!M_ProdTag*(FEB!M_Monat=$E53))</f>
        <v>0</v>
      </c>
      <c r="V53" s="236" cm="1">
        <f t="array" ref="V53">SUMPRODUCT((FEB!M_Verweiszeile=$H53)*FEB!M_ProdN1*(FEB!M_Monat=$E53))</f>
        <v>0</v>
      </c>
      <c r="W53" s="236" cm="1">
        <f t="array" ref="W53">SUMPRODUCT((FEB!M_Verweiszeile=$H53)*FEB!M_ProdN2*(FEB!M_Monat=$E53))</f>
        <v>0</v>
      </c>
      <c r="X53" s="236">
        <f t="shared" si="12"/>
        <v>0</v>
      </c>
      <c r="Y53" s="236">
        <f t="shared" si="2"/>
        <v>0</v>
      </c>
      <c r="Z53" s="236">
        <f t="shared" si="3"/>
        <v>0</v>
      </c>
      <c r="AA53" s="236">
        <f t="shared" si="13"/>
        <v>0</v>
      </c>
      <c r="AB53" s="236">
        <f t="shared" si="14"/>
        <v>0</v>
      </c>
      <c r="AC53" s="236">
        <f t="shared" si="15"/>
        <v>0</v>
      </c>
    </row>
    <row r="54" spans="3:29" x14ac:dyDescent="0.2">
      <c r="C54" s="129">
        <v>45</v>
      </c>
      <c r="D54" s="190">
        <f t="shared" si="16"/>
        <v>45336</v>
      </c>
      <c r="E54" s="129">
        <f t="shared" si="4"/>
        <v>2</v>
      </c>
      <c r="F54" s="191">
        <f t="shared" si="5"/>
        <v>45336</v>
      </c>
      <c r="G54" s="129">
        <f t="shared" si="6"/>
        <v>7</v>
      </c>
      <c r="H54" s="129">
        <f t="shared" si="7"/>
        <v>14</v>
      </c>
      <c r="I54" s="129">
        <f t="shared" si="8"/>
        <v>3</v>
      </c>
      <c r="J54" s="192">
        <f t="shared" si="9"/>
        <v>45336</v>
      </c>
      <c r="K54" s="129" t="str" cm="1">
        <f t="array" ref="K54">IF(AND(I54&lt;7,INDEX(B_tblFTMatrix,$E54,$H54)="x"),"ft","")</f>
        <v/>
      </c>
      <c r="L54" s="129"/>
      <c r="M54" s="129"/>
      <c r="N54" s="129">
        <f t="shared" si="0"/>
        <v>1</v>
      </c>
      <c r="O54" s="129">
        <f t="shared" si="10"/>
        <v>1</v>
      </c>
      <c r="P54" s="231">
        <f t="shared" si="1"/>
        <v>8</v>
      </c>
      <c r="Q54" s="233" cm="1">
        <f t="array" ref="Q54">SUMPRODUCT((H_tblBGTage=I54)*(H_tblBGMnt=E54)*H_tblBG%)</f>
        <v>1</v>
      </c>
      <c r="R54" s="231">
        <f t="shared" si="11"/>
        <v>8</v>
      </c>
      <c r="S54" s="237"/>
      <c r="T54" s="237"/>
      <c r="U54" s="236" cm="1">
        <f t="array" ref="U54">SUMPRODUCT((FEB!M_Verweiszeile=$H54)*FEB!M_ProdTag*(FEB!M_Monat=$E54))</f>
        <v>0</v>
      </c>
      <c r="V54" s="236" cm="1">
        <f t="array" ref="V54">SUMPRODUCT((FEB!M_Verweiszeile=$H54)*FEB!M_ProdN1*(FEB!M_Monat=$E54))</f>
        <v>0</v>
      </c>
      <c r="W54" s="236" cm="1">
        <f t="array" ref="W54">SUMPRODUCT((FEB!M_Verweiszeile=$H54)*FEB!M_ProdN2*(FEB!M_Monat=$E54))</f>
        <v>0</v>
      </c>
      <c r="X54" s="236">
        <f t="shared" si="12"/>
        <v>0</v>
      </c>
      <c r="Y54" s="236">
        <f t="shared" si="2"/>
        <v>0</v>
      </c>
      <c r="Z54" s="236">
        <f t="shared" si="3"/>
        <v>0</v>
      </c>
      <c r="AA54" s="236">
        <f t="shared" si="13"/>
        <v>0</v>
      </c>
      <c r="AB54" s="236">
        <f t="shared" si="14"/>
        <v>0</v>
      </c>
      <c r="AC54" s="236">
        <f t="shared" si="15"/>
        <v>0</v>
      </c>
    </row>
    <row r="55" spans="3:29" x14ac:dyDescent="0.2">
      <c r="C55" s="129">
        <v>46</v>
      </c>
      <c r="D55" s="190">
        <f t="shared" si="16"/>
        <v>45337</v>
      </c>
      <c r="E55" s="129">
        <f t="shared" si="4"/>
        <v>2</v>
      </c>
      <c r="F55" s="191">
        <f t="shared" si="5"/>
        <v>45337</v>
      </c>
      <c r="G55" s="129">
        <f t="shared" si="6"/>
        <v>7</v>
      </c>
      <c r="H55" s="129">
        <f t="shared" si="7"/>
        <v>15</v>
      </c>
      <c r="I55" s="129">
        <f t="shared" si="8"/>
        <v>4</v>
      </c>
      <c r="J55" s="192">
        <f t="shared" si="9"/>
        <v>45337</v>
      </c>
      <c r="K55" s="129" t="str" cm="1">
        <f t="array" ref="K55">IF(AND(I55&lt;7,INDEX(B_tblFTMatrix,$E55,$H55)="x"),"ft","")</f>
        <v/>
      </c>
      <c r="L55" s="129"/>
      <c r="M55" s="129"/>
      <c r="N55" s="129">
        <f t="shared" si="0"/>
        <v>1</v>
      </c>
      <c r="O55" s="129">
        <f t="shared" si="10"/>
        <v>1</v>
      </c>
      <c r="P55" s="231">
        <f t="shared" si="1"/>
        <v>8</v>
      </c>
      <c r="Q55" s="233" cm="1">
        <f t="array" ref="Q55">SUMPRODUCT((H_tblBGTage=I55)*(H_tblBGMnt=E55)*H_tblBG%)</f>
        <v>1</v>
      </c>
      <c r="R55" s="231">
        <f t="shared" si="11"/>
        <v>8</v>
      </c>
      <c r="S55" s="237"/>
      <c r="T55" s="237"/>
      <c r="U55" s="236" cm="1">
        <f t="array" ref="U55">SUMPRODUCT((FEB!M_Verweiszeile=$H55)*FEB!M_ProdTag*(FEB!M_Monat=$E55))</f>
        <v>0</v>
      </c>
      <c r="V55" s="236" cm="1">
        <f t="array" ref="V55">SUMPRODUCT((FEB!M_Verweiszeile=$H55)*FEB!M_ProdN1*(FEB!M_Monat=$E55))</f>
        <v>0</v>
      </c>
      <c r="W55" s="236" cm="1">
        <f t="array" ref="W55">SUMPRODUCT((FEB!M_Verweiszeile=$H55)*FEB!M_ProdN2*(FEB!M_Monat=$E55))</f>
        <v>0</v>
      </c>
      <c r="X55" s="236">
        <f t="shared" si="12"/>
        <v>0</v>
      </c>
      <c r="Y55" s="236">
        <f t="shared" si="2"/>
        <v>0</v>
      </c>
      <c r="Z55" s="236">
        <f t="shared" si="3"/>
        <v>0</v>
      </c>
      <c r="AA55" s="236">
        <f t="shared" si="13"/>
        <v>0</v>
      </c>
      <c r="AB55" s="236">
        <f t="shared" si="14"/>
        <v>0</v>
      </c>
      <c r="AC55" s="236">
        <f t="shared" si="15"/>
        <v>0</v>
      </c>
    </row>
    <row r="56" spans="3:29" x14ac:dyDescent="0.2">
      <c r="C56" s="129">
        <v>47</v>
      </c>
      <c r="D56" s="190">
        <f t="shared" si="16"/>
        <v>45338</v>
      </c>
      <c r="E56" s="129">
        <f t="shared" si="4"/>
        <v>2</v>
      </c>
      <c r="F56" s="191">
        <f t="shared" si="5"/>
        <v>45338</v>
      </c>
      <c r="G56" s="129">
        <f t="shared" si="6"/>
        <v>7</v>
      </c>
      <c r="H56" s="129">
        <f t="shared" si="7"/>
        <v>16</v>
      </c>
      <c r="I56" s="129">
        <f t="shared" si="8"/>
        <v>5</v>
      </c>
      <c r="J56" s="192">
        <f t="shared" si="9"/>
        <v>45338</v>
      </c>
      <c r="K56" s="129" t="str" cm="1">
        <f t="array" ref="K56">IF(AND(I56&lt;7,INDEX(B_tblFTMatrix,$E56,$H56)="x"),"ft","")</f>
        <v/>
      </c>
      <c r="L56" s="129"/>
      <c r="M56" s="129"/>
      <c r="N56" s="129">
        <f t="shared" si="0"/>
        <v>1</v>
      </c>
      <c r="O56" s="129">
        <f t="shared" si="10"/>
        <v>1</v>
      </c>
      <c r="P56" s="231">
        <f t="shared" si="1"/>
        <v>8</v>
      </c>
      <c r="Q56" s="233" cm="1">
        <f t="array" ref="Q56">SUMPRODUCT((H_tblBGTage=I56)*(H_tblBGMnt=E56)*H_tblBG%)</f>
        <v>1</v>
      </c>
      <c r="R56" s="231">
        <f t="shared" si="11"/>
        <v>8</v>
      </c>
      <c r="S56" s="237"/>
      <c r="T56" s="237"/>
      <c r="U56" s="236" cm="1">
        <f t="array" ref="U56">SUMPRODUCT((FEB!M_Verweiszeile=$H56)*FEB!M_ProdTag*(FEB!M_Monat=$E56))</f>
        <v>0</v>
      </c>
      <c r="V56" s="236" cm="1">
        <f t="array" ref="V56">SUMPRODUCT((FEB!M_Verweiszeile=$H56)*FEB!M_ProdN1*(FEB!M_Monat=$E56))</f>
        <v>0</v>
      </c>
      <c r="W56" s="236" cm="1">
        <f t="array" ref="W56">SUMPRODUCT((FEB!M_Verweiszeile=$H56)*FEB!M_ProdN2*(FEB!M_Monat=$E56))</f>
        <v>0</v>
      </c>
      <c r="X56" s="236">
        <f t="shared" si="12"/>
        <v>0</v>
      </c>
      <c r="Y56" s="236">
        <f t="shared" si="2"/>
        <v>0</v>
      </c>
      <c r="Z56" s="236">
        <f t="shared" si="3"/>
        <v>0</v>
      </c>
      <c r="AA56" s="236">
        <f t="shared" si="13"/>
        <v>0</v>
      </c>
      <c r="AB56" s="236">
        <f t="shared" si="14"/>
        <v>0</v>
      </c>
      <c r="AC56" s="236">
        <f t="shared" si="15"/>
        <v>0</v>
      </c>
    </row>
    <row r="57" spans="3:29" x14ac:dyDescent="0.2">
      <c r="C57" s="129">
        <v>48</v>
      </c>
      <c r="D57" s="190">
        <f t="shared" si="16"/>
        <v>45339</v>
      </c>
      <c r="E57" s="129">
        <f t="shared" si="4"/>
        <v>2</v>
      </c>
      <c r="F57" s="191">
        <f t="shared" si="5"/>
        <v>45339</v>
      </c>
      <c r="G57" s="129">
        <f t="shared" si="6"/>
        <v>7</v>
      </c>
      <c r="H57" s="129">
        <f t="shared" si="7"/>
        <v>17</v>
      </c>
      <c r="I57" s="129">
        <f t="shared" si="8"/>
        <v>6</v>
      </c>
      <c r="J57" s="192">
        <f t="shared" si="9"/>
        <v>45339</v>
      </c>
      <c r="K57" s="129" t="str" cm="1">
        <f t="array" ref="K57">IF(AND(I57&lt;7,INDEX(B_tblFTMatrix,$E57,$H57)="x"),"ft","")</f>
        <v/>
      </c>
      <c r="L57" s="129"/>
      <c r="M57" s="129"/>
      <c r="N57" s="129">
        <f t="shared" si="0"/>
        <v>0</v>
      </c>
      <c r="O57" s="129">
        <f t="shared" si="10"/>
        <v>0</v>
      </c>
      <c r="P57" s="231">
        <f t="shared" si="1"/>
        <v>0</v>
      </c>
      <c r="Q57" s="233" cm="1">
        <f t="array" ref="Q57">SUMPRODUCT((H_tblBGTage=I57)*(H_tblBGMnt=E57)*H_tblBG%)</f>
        <v>0</v>
      </c>
      <c r="R57" s="231">
        <f t="shared" si="11"/>
        <v>0</v>
      </c>
      <c r="S57" s="237"/>
      <c r="T57" s="237"/>
      <c r="U57" s="236" cm="1">
        <f t="array" ref="U57">SUMPRODUCT((FEB!M_Verweiszeile=$H57)*FEB!M_ProdTag*(FEB!M_Monat=$E57))</f>
        <v>0</v>
      </c>
      <c r="V57" s="236" cm="1">
        <f t="array" ref="V57">SUMPRODUCT((FEB!M_Verweiszeile=$H57)*FEB!M_ProdN1*(FEB!M_Monat=$E57))</f>
        <v>0</v>
      </c>
      <c r="W57" s="236" cm="1">
        <f t="array" ref="W57">SUMPRODUCT((FEB!M_Verweiszeile=$H57)*FEB!M_ProdN2*(FEB!M_Monat=$E57))</f>
        <v>0</v>
      </c>
      <c r="X57" s="236">
        <f t="shared" si="12"/>
        <v>0</v>
      </c>
      <c r="Y57" s="236">
        <f t="shared" si="2"/>
        <v>0</v>
      </c>
      <c r="Z57" s="236">
        <f t="shared" si="3"/>
        <v>0</v>
      </c>
      <c r="AA57" s="236">
        <f t="shared" si="13"/>
        <v>0</v>
      </c>
      <c r="AB57" s="236">
        <f t="shared" si="14"/>
        <v>0</v>
      </c>
      <c r="AC57" s="236">
        <f t="shared" si="15"/>
        <v>0</v>
      </c>
    </row>
    <row r="58" spans="3:29" x14ac:dyDescent="0.2">
      <c r="C58" s="129">
        <v>49</v>
      </c>
      <c r="D58" s="190">
        <f t="shared" si="16"/>
        <v>45340</v>
      </c>
      <c r="E58" s="129">
        <f t="shared" si="4"/>
        <v>2</v>
      </c>
      <c r="F58" s="191">
        <f t="shared" si="5"/>
        <v>45340</v>
      </c>
      <c r="G58" s="129">
        <f t="shared" si="6"/>
        <v>7</v>
      </c>
      <c r="H58" s="129">
        <f t="shared" si="7"/>
        <v>18</v>
      </c>
      <c r="I58" s="129">
        <f t="shared" si="8"/>
        <v>7</v>
      </c>
      <c r="J58" s="192">
        <f t="shared" si="9"/>
        <v>45340</v>
      </c>
      <c r="K58" s="129" t="str" cm="1">
        <f t="array" ref="K58">IF(AND(I58&lt;7,INDEX(B_tblFTMatrix,$E58,$H58)="x"),"ft","")</f>
        <v/>
      </c>
      <c r="L58" s="129"/>
      <c r="M58" s="129"/>
      <c r="N58" s="129">
        <f t="shared" si="0"/>
        <v>0</v>
      </c>
      <c r="O58" s="129">
        <f t="shared" si="10"/>
        <v>0</v>
      </c>
      <c r="P58" s="231">
        <f t="shared" si="1"/>
        <v>0</v>
      </c>
      <c r="Q58" s="233" cm="1">
        <f t="array" ref="Q58">SUMPRODUCT((H_tblBGTage=I58)*(H_tblBGMnt=E58)*H_tblBG%)</f>
        <v>0</v>
      </c>
      <c r="R58" s="231">
        <f t="shared" si="11"/>
        <v>0</v>
      </c>
      <c r="S58" s="237"/>
      <c r="T58" s="237"/>
      <c r="U58" s="236" cm="1">
        <f t="array" ref="U58">SUMPRODUCT((FEB!M_Verweiszeile=$H58)*FEB!M_ProdTag*(FEB!M_Monat=$E58))</f>
        <v>0</v>
      </c>
      <c r="V58" s="236" cm="1">
        <f t="array" ref="V58">SUMPRODUCT((FEB!M_Verweiszeile=$H58)*FEB!M_ProdN1*(FEB!M_Monat=$E58))</f>
        <v>0</v>
      </c>
      <c r="W58" s="236" cm="1">
        <f t="array" ref="W58">SUMPRODUCT((FEB!M_Verweiszeile=$H58)*FEB!M_ProdN2*(FEB!M_Monat=$E58))</f>
        <v>0</v>
      </c>
      <c r="X58" s="236">
        <f t="shared" si="12"/>
        <v>0</v>
      </c>
      <c r="Y58" s="236">
        <f t="shared" si="2"/>
        <v>0</v>
      </c>
      <c r="Z58" s="236">
        <f t="shared" si="3"/>
        <v>0</v>
      </c>
      <c r="AA58" s="236">
        <f t="shared" si="13"/>
        <v>0</v>
      </c>
      <c r="AB58" s="236">
        <f t="shared" si="14"/>
        <v>0</v>
      </c>
      <c r="AC58" s="236">
        <f t="shared" si="15"/>
        <v>0</v>
      </c>
    </row>
    <row r="59" spans="3:29" x14ac:dyDescent="0.2">
      <c r="C59" s="129">
        <v>50</v>
      </c>
      <c r="D59" s="190">
        <f t="shared" si="16"/>
        <v>45341</v>
      </c>
      <c r="E59" s="129">
        <f t="shared" si="4"/>
        <v>2</v>
      </c>
      <c r="F59" s="191">
        <f t="shared" si="5"/>
        <v>45341</v>
      </c>
      <c r="G59" s="129">
        <f t="shared" si="6"/>
        <v>8</v>
      </c>
      <c r="H59" s="129">
        <f t="shared" si="7"/>
        <v>19</v>
      </c>
      <c r="I59" s="129">
        <f t="shared" si="8"/>
        <v>1</v>
      </c>
      <c r="J59" s="192">
        <f t="shared" si="9"/>
        <v>45341</v>
      </c>
      <c r="K59" s="129" t="str" cm="1">
        <f t="array" ref="K59">IF(AND(I59&lt;7,INDEX(B_tblFTMatrix,$E59,$H59)="x"),"ft","")</f>
        <v/>
      </c>
      <c r="L59" s="129"/>
      <c r="M59" s="129"/>
      <c r="N59" s="129">
        <f t="shared" si="0"/>
        <v>1</v>
      </c>
      <c r="O59" s="129">
        <f t="shared" si="10"/>
        <v>1</v>
      </c>
      <c r="P59" s="231">
        <f t="shared" si="1"/>
        <v>8</v>
      </c>
      <c r="Q59" s="233" cm="1">
        <f t="array" ref="Q59">SUMPRODUCT((H_tblBGTage=I59)*(H_tblBGMnt=E59)*H_tblBG%)</f>
        <v>1</v>
      </c>
      <c r="R59" s="231">
        <f t="shared" si="11"/>
        <v>8</v>
      </c>
      <c r="S59" s="237"/>
      <c r="T59" s="237"/>
      <c r="U59" s="236" cm="1">
        <f t="array" ref="U59">SUMPRODUCT((FEB!M_Verweiszeile=$H59)*FEB!M_ProdTag*(FEB!M_Monat=$E59))</f>
        <v>0</v>
      </c>
      <c r="V59" s="236" cm="1">
        <f t="array" ref="V59">SUMPRODUCT((FEB!M_Verweiszeile=$H59)*FEB!M_ProdN1*(FEB!M_Monat=$E59))</f>
        <v>0</v>
      </c>
      <c r="W59" s="236" cm="1">
        <f t="array" ref="W59">SUMPRODUCT((FEB!M_Verweiszeile=$H59)*FEB!M_ProdN2*(FEB!M_Monat=$E59))</f>
        <v>0</v>
      </c>
      <c r="X59" s="236">
        <f t="shared" si="12"/>
        <v>0</v>
      </c>
      <c r="Y59" s="236">
        <f t="shared" si="2"/>
        <v>0</v>
      </c>
      <c r="Z59" s="236">
        <f t="shared" si="3"/>
        <v>0</v>
      </c>
      <c r="AA59" s="236">
        <f t="shared" si="13"/>
        <v>0</v>
      </c>
      <c r="AB59" s="236">
        <f t="shared" si="14"/>
        <v>0</v>
      </c>
      <c r="AC59" s="236">
        <f t="shared" si="15"/>
        <v>0</v>
      </c>
    </row>
    <row r="60" spans="3:29" x14ac:dyDescent="0.2">
      <c r="C60" s="129">
        <v>51</v>
      </c>
      <c r="D60" s="190">
        <f t="shared" si="16"/>
        <v>45342</v>
      </c>
      <c r="E60" s="129">
        <f t="shared" si="4"/>
        <v>2</v>
      </c>
      <c r="F60" s="191">
        <f t="shared" si="5"/>
        <v>45342</v>
      </c>
      <c r="G60" s="129">
        <f t="shared" si="6"/>
        <v>8</v>
      </c>
      <c r="H60" s="129">
        <f t="shared" si="7"/>
        <v>20</v>
      </c>
      <c r="I60" s="129">
        <f t="shared" si="8"/>
        <v>2</v>
      </c>
      <c r="J60" s="192">
        <f t="shared" si="9"/>
        <v>45342</v>
      </c>
      <c r="K60" s="129" t="str" cm="1">
        <f t="array" ref="K60">IF(AND(I60&lt;7,INDEX(B_tblFTMatrix,$E60,$H60)="x"),"ft","")</f>
        <v/>
      </c>
      <c r="L60" s="129"/>
      <c r="M60" s="129"/>
      <c r="N60" s="129">
        <f t="shared" si="0"/>
        <v>1</v>
      </c>
      <c r="O60" s="129">
        <f t="shared" si="10"/>
        <v>1</v>
      </c>
      <c r="P60" s="231">
        <f t="shared" si="1"/>
        <v>8</v>
      </c>
      <c r="Q60" s="233" cm="1">
        <f t="array" ref="Q60">SUMPRODUCT((H_tblBGTage=I60)*(H_tblBGMnt=E60)*H_tblBG%)</f>
        <v>1</v>
      </c>
      <c r="R60" s="231">
        <f t="shared" si="11"/>
        <v>8</v>
      </c>
      <c r="S60" s="237"/>
      <c r="T60" s="237"/>
      <c r="U60" s="236" cm="1">
        <f t="array" ref="U60">SUMPRODUCT((FEB!M_Verweiszeile=$H60)*FEB!M_ProdTag*(FEB!M_Monat=$E60))</f>
        <v>0</v>
      </c>
      <c r="V60" s="236" cm="1">
        <f t="array" ref="V60">SUMPRODUCT((FEB!M_Verweiszeile=$H60)*FEB!M_ProdN1*(FEB!M_Monat=$E60))</f>
        <v>0</v>
      </c>
      <c r="W60" s="236" cm="1">
        <f t="array" ref="W60">SUMPRODUCT((FEB!M_Verweiszeile=$H60)*FEB!M_ProdN2*(FEB!M_Monat=$E60))</f>
        <v>0</v>
      </c>
      <c r="X60" s="236">
        <f t="shared" si="12"/>
        <v>0</v>
      </c>
      <c r="Y60" s="236">
        <f t="shared" si="2"/>
        <v>0</v>
      </c>
      <c r="Z60" s="236">
        <f t="shared" si="3"/>
        <v>0</v>
      </c>
      <c r="AA60" s="236">
        <f t="shared" si="13"/>
        <v>0</v>
      </c>
      <c r="AB60" s="236">
        <f t="shared" si="14"/>
        <v>0</v>
      </c>
      <c r="AC60" s="236">
        <f t="shared" si="15"/>
        <v>0</v>
      </c>
    </row>
    <row r="61" spans="3:29" x14ac:dyDescent="0.2">
      <c r="C61" s="129">
        <v>52</v>
      </c>
      <c r="D61" s="190">
        <f t="shared" si="16"/>
        <v>45343</v>
      </c>
      <c r="E61" s="129">
        <f t="shared" si="4"/>
        <v>2</v>
      </c>
      <c r="F61" s="191">
        <f t="shared" si="5"/>
        <v>45343</v>
      </c>
      <c r="G61" s="129">
        <f t="shared" si="6"/>
        <v>8</v>
      </c>
      <c r="H61" s="129">
        <f t="shared" si="7"/>
        <v>21</v>
      </c>
      <c r="I61" s="129">
        <f t="shared" si="8"/>
        <v>3</v>
      </c>
      <c r="J61" s="192">
        <f t="shared" si="9"/>
        <v>45343</v>
      </c>
      <c r="K61" s="129" t="str" cm="1">
        <f t="array" ref="K61">IF(AND(I61&lt;7,INDEX(B_tblFTMatrix,$E61,$H61)="x"),"ft","")</f>
        <v/>
      </c>
      <c r="L61" s="129"/>
      <c r="M61" s="129"/>
      <c r="N61" s="129">
        <f t="shared" si="0"/>
        <v>1</v>
      </c>
      <c r="O61" s="129">
        <f t="shared" si="10"/>
        <v>1</v>
      </c>
      <c r="P61" s="231">
        <f t="shared" si="1"/>
        <v>8</v>
      </c>
      <c r="Q61" s="233" cm="1">
        <f t="array" ref="Q61">SUMPRODUCT((H_tblBGTage=I61)*(H_tblBGMnt=E61)*H_tblBG%)</f>
        <v>1</v>
      </c>
      <c r="R61" s="231">
        <f t="shared" si="11"/>
        <v>8</v>
      </c>
      <c r="S61" s="237"/>
      <c r="T61" s="237"/>
      <c r="U61" s="236" cm="1">
        <f t="array" ref="U61">SUMPRODUCT((FEB!M_Verweiszeile=$H61)*FEB!M_ProdTag*(FEB!M_Monat=$E61))</f>
        <v>0</v>
      </c>
      <c r="V61" s="236" cm="1">
        <f t="array" ref="V61">SUMPRODUCT((FEB!M_Verweiszeile=$H61)*FEB!M_ProdN1*(FEB!M_Monat=$E61))</f>
        <v>0</v>
      </c>
      <c r="W61" s="236" cm="1">
        <f t="array" ref="W61">SUMPRODUCT((FEB!M_Verweiszeile=$H61)*FEB!M_ProdN2*(FEB!M_Monat=$E61))</f>
        <v>0</v>
      </c>
      <c r="X61" s="236">
        <f t="shared" si="12"/>
        <v>0</v>
      </c>
      <c r="Y61" s="236">
        <f t="shared" si="2"/>
        <v>0</v>
      </c>
      <c r="Z61" s="236">
        <f t="shared" si="3"/>
        <v>0</v>
      </c>
      <c r="AA61" s="236">
        <f t="shared" si="13"/>
        <v>0</v>
      </c>
      <c r="AB61" s="236">
        <f t="shared" si="14"/>
        <v>0</v>
      </c>
      <c r="AC61" s="236">
        <f t="shared" si="15"/>
        <v>0</v>
      </c>
    </row>
    <row r="62" spans="3:29" x14ac:dyDescent="0.2">
      <c r="C62" s="129">
        <v>53</v>
      </c>
      <c r="D62" s="190">
        <f t="shared" si="16"/>
        <v>45344</v>
      </c>
      <c r="E62" s="129">
        <f t="shared" si="4"/>
        <v>2</v>
      </c>
      <c r="F62" s="191">
        <f t="shared" si="5"/>
        <v>45344</v>
      </c>
      <c r="G62" s="129">
        <f t="shared" si="6"/>
        <v>8</v>
      </c>
      <c r="H62" s="129">
        <f t="shared" si="7"/>
        <v>22</v>
      </c>
      <c r="I62" s="129">
        <f t="shared" si="8"/>
        <v>4</v>
      </c>
      <c r="J62" s="192">
        <f t="shared" si="9"/>
        <v>45344</v>
      </c>
      <c r="K62" s="129" t="str" cm="1">
        <f t="array" ref="K62">IF(AND(I62&lt;7,INDEX(B_tblFTMatrix,$E62,$H62)="x"),"ft","")</f>
        <v/>
      </c>
      <c r="L62" s="129"/>
      <c r="M62" s="129"/>
      <c r="N62" s="129">
        <f t="shared" si="0"/>
        <v>1</v>
      </c>
      <c r="O62" s="129">
        <f t="shared" si="10"/>
        <v>1</v>
      </c>
      <c r="P62" s="231">
        <f t="shared" si="1"/>
        <v>8</v>
      </c>
      <c r="Q62" s="233" cm="1">
        <f t="array" ref="Q62">SUMPRODUCT((H_tblBGTage=I62)*(H_tblBGMnt=E62)*H_tblBG%)</f>
        <v>1</v>
      </c>
      <c r="R62" s="231">
        <f t="shared" si="11"/>
        <v>8</v>
      </c>
      <c r="S62" s="237"/>
      <c r="T62" s="237"/>
      <c r="U62" s="236" cm="1">
        <f t="array" ref="U62">SUMPRODUCT((FEB!M_Verweiszeile=$H62)*FEB!M_ProdTag*(FEB!M_Monat=$E62))</f>
        <v>0</v>
      </c>
      <c r="V62" s="236" cm="1">
        <f t="array" ref="V62">SUMPRODUCT((FEB!M_Verweiszeile=$H62)*FEB!M_ProdN1*(FEB!M_Monat=$E62))</f>
        <v>0</v>
      </c>
      <c r="W62" s="236" cm="1">
        <f t="array" ref="W62">SUMPRODUCT((FEB!M_Verweiszeile=$H62)*FEB!M_ProdN2*(FEB!M_Monat=$E62))</f>
        <v>0</v>
      </c>
      <c r="X62" s="236">
        <f t="shared" si="12"/>
        <v>0</v>
      </c>
      <c r="Y62" s="236">
        <f t="shared" si="2"/>
        <v>0</v>
      </c>
      <c r="Z62" s="236">
        <f t="shared" si="3"/>
        <v>0</v>
      </c>
      <c r="AA62" s="236">
        <f t="shared" si="13"/>
        <v>0</v>
      </c>
      <c r="AB62" s="236">
        <f t="shared" si="14"/>
        <v>0</v>
      </c>
      <c r="AC62" s="236">
        <f t="shared" si="15"/>
        <v>0</v>
      </c>
    </row>
    <row r="63" spans="3:29" x14ac:dyDescent="0.2">
      <c r="C63" s="129">
        <v>54</v>
      </c>
      <c r="D63" s="190">
        <f t="shared" si="16"/>
        <v>45345</v>
      </c>
      <c r="E63" s="129">
        <f t="shared" si="4"/>
        <v>2</v>
      </c>
      <c r="F63" s="191">
        <f t="shared" si="5"/>
        <v>45345</v>
      </c>
      <c r="G63" s="129">
        <f t="shared" si="6"/>
        <v>8</v>
      </c>
      <c r="H63" s="129">
        <f t="shared" si="7"/>
        <v>23</v>
      </c>
      <c r="I63" s="129">
        <f t="shared" si="8"/>
        <v>5</v>
      </c>
      <c r="J63" s="192">
        <f t="shared" si="9"/>
        <v>45345</v>
      </c>
      <c r="K63" s="129" t="str" cm="1">
        <f t="array" ref="K63">IF(AND(I63&lt;7,INDEX(B_tblFTMatrix,$E63,$H63)="x"),"ft","")</f>
        <v/>
      </c>
      <c r="L63" s="129"/>
      <c r="M63" s="129"/>
      <c r="N63" s="129">
        <f t="shared" si="0"/>
        <v>1</v>
      </c>
      <c r="O63" s="129">
        <f t="shared" si="10"/>
        <v>1</v>
      </c>
      <c r="P63" s="231">
        <f t="shared" si="1"/>
        <v>8</v>
      </c>
      <c r="Q63" s="233" cm="1">
        <f t="array" ref="Q63">SUMPRODUCT((H_tblBGTage=I63)*(H_tblBGMnt=E63)*H_tblBG%)</f>
        <v>1</v>
      </c>
      <c r="R63" s="231">
        <f t="shared" si="11"/>
        <v>8</v>
      </c>
      <c r="S63" s="237"/>
      <c r="T63" s="237"/>
      <c r="U63" s="236" cm="1">
        <f t="array" ref="U63">SUMPRODUCT((FEB!M_Verweiszeile=$H63)*FEB!M_ProdTag*(FEB!M_Monat=$E63))</f>
        <v>0</v>
      </c>
      <c r="V63" s="236" cm="1">
        <f t="array" ref="V63">SUMPRODUCT((FEB!M_Verweiszeile=$H63)*FEB!M_ProdN1*(FEB!M_Monat=$E63))</f>
        <v>0</v>
      </c>
      <c r="W63" s="236" cm="1">
        <f t="array" ref="W63">SUMPRODUCT((FEB!M_Verweiszeile=$H63)*FEB!M_ProdN2*(FEB!M_Monat=$E63))</f>
        <v>0</v>
      </c>
      <c r="X63" s="236">
        <f t="shared" si="12"/>
        <v>0</v>
      </c>
      <c r="Y63" s="236">
        <f t="shared" si="2"/>
        <v>0</v>
      </c>
      <c r="Z63" s="236">
        <f t="shared" si="3"/>
        <v>0</v>
      </c>
      <c r="AA63" s="236">
        <f t="shared" si="13"/>
        <v>0</v>
      </c>
      <c r="AB63" s="236">
        <f t="shared" si="14"/>
        <v>0</v>
      </c>
      <c r="AC63" s="236">
        <f t="shared" si="15"/>
        <v>0</v>
      </c>
    </row>
    <row r="64" spans="3:29" x14ac:dyDescent="0.2">
      <c r="C64" s="129">
        <v>55</v>
      </c>
      <c r="D64" s="190">
        <f t="shared" si="16"/>
        <v>45346</v>
      </c>
      <c r="E64" s="129">
        <f t="shared" si="4"/>
        <v>2</v>
      </c>
      <c r="F64" s="191">
        <f t="shared" si="5"/>
        <v>45346</v>
      </c>
      <c r="G64" s="129">
        <f t="shared" si="6"/>
        <v>8</v>
      </c>
      <c r="H64" s="129">
        <f t="shared" si="7"/>
        <v>24</v>
      </c>
      <c r="I64" s="129">
        <f t="shared" si="8"/>
        <v>6</v>
      </c>
      <c r="J64" s="192">
        <f t="shared" si="9"/>
        <v>45346</v>
      </c>
      <c r="K64" s="129" t="str" cm="1">
        <f t="array" ref="K64">IF(AND(I64&lt;7,INDEX(B_tblFTMatrix,$E64,$H64)="x"),"ft","")</f>
        <v/>
      </c>
      <c r="L64" s="129"/>
      <c r="M64" s="129"/>
      <c r="N64" s="129">
        <f t="shared" si="0"/>
        <v>0</v>
      </c>
      <c r="O64" s="129">
        <f t="shared" si="10"/>
        <v>0</v>
      </c>
      <c r="P64" s="231">
        <f t="shared" si="1"/>
        <v>0</v>
      </c>
      <c r="Q64" s="233" cm="1">
        <f t="array" ref="Q64">SUMPRODUCT((H_tblBGTage=I64)*(H_tblBGMnt=E64)*H_tblBG%)</f>
        <v>0</v>
      </c>
      <c r="R64" s="231">
        <f t="shared" si="11"/>
        <v>0</v>
      </c>
      <c r="S64" s="237"/>
      <c r="T64" s="237"/>
      <c r="U64" s="236" cm="1">
        <f t="array" ref="U64">SUMPRODUCT((FEB!M_Verweiszeile=$H64)*FEB!M_ProdTag*(FEB!M_Monat=$E64))</f>
        <v>0</v>
      </c>
      <c r="V64" s="236" cm="1">
        <f t="array" ref="V64">SUMPRODUCT((FEB!M_Verweiszeile=$H64)*FEB!M_ProdN1*(FEB!M_Monat=$E64))</f>
        <v>0</v>
      </c>
      <c r="W64" s="236" cm="1">
        <f t="array" ref="W64">SUMPRODUCT((FEB!M_Verweiszeile=$H64)*FEB!M_ProdN2*(FEB!M_Monat=$E64))</f>
        <v>0</v>
      </c>
      <c r="X64" s="236">
        <f t="shared" si="12"/>
        <v>0</v>
      </c>
      <c r="Y64" s="236">
        <f t="shared" si="2"/>
        <v>0</v>
      </c>
      <c r="Z64" s="236">
        <f t="shared" si="3"/>
        <v>0</v>
      </c>
      <c r="AA64" s="236">
        <f t="shared" si="13"/>
        <v>0</v>
      </c>
      <c r="AB64" s="236">
        <f t="shared" si="14"/>
        <v>0</v>
      </c>
      <c r="AC64" s="236">
        <f t="shared" si="15"/>
        <v>0</v>
      </c>
    </row>
    <row r="65" spans="3:29" x14ac:dyDescent="0.2">
      <c r="C65" s="129">
        <v>56</v>
      </c>
      <c r="D65" s="190">
        <f t="shared" si="16"/>
        <v>45347</v>
      </c>
      <c r="E65" s="129">
        <f t="shared" si="4"/>
        <v>2</v>
      </c>
      <c r="F65" s="191">
        <f t="shared" si="5"/>
        <v>45347</v>
      </c>
      <c r="G65" s="129">
        <f t="shared" si="6"/>
        <v>8</v>
      </c>
      <c r="H65" s="129">
        <f t="shared" si="7"/>
        <v>25</v>
      </c>
      <c r="I65" s="129">
        <f t="shared" si="8"/>
        <v>7</v>
      </c>
      <c r="J65" s="192">
        <f t="shared" si="9"/>
        <v>45347</v>
      </c>
      <c r="K65" s="129" t="str" cm="1">
        <f t="array" ref="K65">IF(AND(I65&lt;7,INDEX(B_tblFTMatrix,$E65,$H65)="x"),"ft","")</f>
        <v/>
      </c>
      <c r="L65" s="129"/>
      <c r="M65" s="129"/>
      <c r="N65" s="129">
        <f t="shared" si="0"/>
        <v>0</v>
      </c>
      <c r="O65" s="129">
        <f t="shared" si="10"/>
        <v>0</v>
      </c>
      <c r="P65" s="231">
        <f t="shared" si="1"/>
        <v>0</v>
      </c>
      <c r="Q65" s="233" cm="1">
        <f t="array" ref="Q65">SUMPRODUCT((H_tblBGTage=I65)*(H_tblBGMnt=E65)*H_tblBG%)</f>
        <v>0</v>
      </c>
      <c r="R65" s="231">
        <f t="shared" si="11"/>
        <v>0</v>
      </c>
      <c r="S65" s="237"/>
      <c r="T65" s="237"/>
      <c r="U65" s="236" cm="1">
        <f t="array" ref="U65">SUMPRODUCT((FEB!M_Verweiszeile=$H65)*FEB!M_ProdTag*(FEB!M_Monat=$E65))</f>
        <v>0</v>
      </c>
      <c r="V65" s="236" cm="1">
        <f t="array" ref="V65">SUMPRODUCT((FEB!M_Verweiszeile=$H65)*FEB!M_ProdN1*(FEB!M_Monat=$E65))</f>
        <v>0</v>
      </c>
      <c r="W65" s="236" cm="1">
        <f t="array" ref="W65">SUMPRODUCT((FEB!M_Verweiszeile=$H65)*FEB!M_ProdN2*(FEB!M_Monat=$E65))</f>
        <v>0</v>
      </c>
      <c r="X65" s="236">
        <f t="shared" si="12"/>
        <v>0</v>
      </c>
      <c r="Y65" s="236">
        <f t="shared" si="2"/>
        <v>0</v>
      </c>
      <c r="Z65" s="236">
        <f t="shared" si="3"/>
        <v>0</v>
      </c>
      <c r="AA65" s="236">
        <f t="shared" si="13"/>
        <v>0</v>
      </c>
      <c r="AB65" s="236">
        <f t="shared" si="14"/>
        <v>0</v>
      </c>
      <c r="AC65" s="236">
        <f t="shared" si="15"/>
        <v>0</v>
      </c>
    </row>
    <row r="66" spans="3:29" x14ac:dyDescent="0.2">
      <c r="C66" s="129">
        <v>57</v>
      </c>
      <c r="D66" s="190">
        <f t="shared" si="16"/>
        <v>45348</v>
      </c>
      <c r="E66" s="129">
        <f t="shared" si="4"/>
        <v>2</v>
      </c>
      <c r="F66" s="191">
        <f t="shared" si="5"/>
        <v>45348</v>
      </c>
      <c r="G66" s="129">
        <f t="shared" si="6"/>
        <v>9</v>
      </c>
      <c r="H66" s="129">
        <f t="shared" si="7"/>
        <v>26</v>
      </c>
      <c r="I66" s="129">
        <f t="shared" si="8"/>
        <v>1</v>
      </c>
      <c r="J66" s="192">
        <f t="shared" si="9"/>
        <v>45348</v>
      </c>
      <c r="K66" s="129" t="str" cm="1">
        <f t="array" ref="K66">IF(AND(I66&lt;7,INDEX(B_tblFTMatrix,$E66,$H66)="x"),"ft","")</f>
        <v/>
      </c>
      <c r="L66" s="129"/>
      <c r="M66" s="129"/>
      <c r="N66" s="129">
        <f t="shared" si="0"/>
        <v>1</v>
      </c>
      <c r="O66" s="129">
        <f t="shared" si="10"/>
        <v>1</v>
      </c>
      <c r="P66" s="231">
        <f t="shared" si="1"/>
        <v>8</v>
      </c>
      <c r="Q66" s="233" cm="1">
        <f t="array" ref="Q66">SUMPRODUCT((H_tblBGTage=I66)*(H_tblBGMnt=E66)*H_tblBG%)</f>
        <v>1</v>
      </c>
      <c r="R66" s="231">
        <f t="shared" si="11"/>
        <v>8</v>
      </c>
      <c r="S66" s="237"/>
      <c r="T66" s="237"/>
      <c r="U66" s="236" cm="1">
        <f t="array" ref="U66">SUMPRODUCT((FEB!M_Verweiszeile=$H66)*FEB!M_ProdTag*(FEB!M_Monat=$E66))</f>
        <v>0</v>
      </c>
      <c r="V66" s="236" cm="1">
        <f t="array" ref="V66">SUMPRODUCT((FEB!M_Verweiszeile=$H66)*FEB!M_ProdN1*(FEB!M_Monat=$E66))</f>
        <v>0</v>
      </c>
      <c r="W66" s="236" cm="1">
        <f t="array" ref="W66">SUMPRODUCT((FEB!M_Verweiszeile=$H66)*FEB!M_ProdN2*(FEB!M_Monat=$E66))</f>
        <v>0</v>
      </c>
      <c r="X66" s="236">
        <f t="shared" si="12"/>
        <v>0</v>
      </c>
      <c r="Y66" s="236">
        <f t="shared" si="2"/>
        <v>0</v>
      </c>
      <c r="Z66" s="236">
        <f t="shared" si="3"/>
        <v>0</v>
      </c>
      <c r="AA66" s="236">
        <f t="shared" si="13"/>
        <v>0</v>
      </c>
      <c r="AB66" s="236">
        <f t="shared" si="14"/>
        <v>0</v>
      </c>
      <c r="AC66" s="236">
        <f t="shared" si="15"/>
        <v>0</v>
      </c>
    </row>
    <row r="67" spans="3:29" x14ac:dyDescent="0.2">
      <c r="C67" s="129">
        <v>58</v>
      </c>
      <c r="D67" s="190">
        <f t="shared" si="16"/>
        <v>45349</v>
      </c>
      <c r="E67" s="129">
        <f t="shared" si="4"/>
        <v>2</v>
      </c>
      <c r="F67" s="191">
        <f t="shared" si="5"/>
        <v>45349</v>
      </c>
      <c r="G67" s="129">
        <f t="shared" si="6"/>
        <v>9</v>
      </c>
      <c r="H67" s="129">
        <f t="shared" si="7"/>
        <v>27</v>
      </c>
      <c r="I67" s="129">
        <f t="shared" si="8"/>
        <v>2</v>
      </c>
      <c r="J67" s="192">
        <f t="shared" si="9"/>
        <v>45349</v>
      </c>
      <c r="K67" s="129" t="str" cm="1">
        <f t="array" ref="K67">IF(AND(I67&lt;7,INDEX(B_tblFTMatrix,$E67,$H67)="x"),"ft","")</f>
        <v/>
      </c>
      <c r="L67" s="129"/>
      <c r="M67" s="129"/>
      <c r="N67" s="129">
        <f t="shared" si="0"/>
        <v>1</v>
      </c>
      <c r="O67" s="129">
        <f t="shared" si="10"/>
        <v>1</v>
      </c>
      <c r="P67" s="231">
        <f t="shared" si="1"/>
        <v>8</v>
      </c>
      <c r="Q67" s="233" cm="1">
        <f t="array" ref="Q67">SUMPRODUCT((H_tblBGTage=I67)*(H_tblBGMnt=E67)*H_tblBG%)</f>
        <v>1</v>
      </c>
      <c r="R67" s="231">
        <f t="shared" si="11"/>
        <v>8</v>
      </c>
      <c r="S67" s="237"/>
      <c r="T67" s="237"/>
      <c r="U67" s="236" cm="1">
        <f t="array" ref="U67">SUMPRODUCT((FEB!M_Verweiszeile=$H67)*FEB!M_ProdTag*(FEB!M_Monat=$E67))</f>
        <v>0</v>
      </c>
      <c r="V67" s="236" cm="1">
        <f t="array" ref="V67">SUMPRODUCT((FEB!M_Verweiszeile=$H67)*FEB!M_ProdN1*(FEB!M_Monat=$E67))</f>
        <v>0</v>
      </c>
      <c r="W67" s="236" cm="1">
        <f t="array" ref="W67">SUMPRODUCT((FEB!M_Verweiszeile=$H67)*FEB!M_ProdN2*(FEB!M_Monat=$E67))</f>
        <v>0</v>
      </c>
      <c r="X67" s="236">
        <f t="shared" si="12"/>
        <v>0</v>
      </c>
      <c r="Y67" s="236">
        <f t="shared" si="2"/>
        <v>0</v>
      </c>
      <c r="Z67" s="236">
        <f t="shared" si="3"/>
        <v>0</v>
      </c>
      <c r="AA67" s="236">
        <f t="shared" si="13"/>
        <v>0</v>
      </c>
      <c r="AB67" s="236">
        <f t="shared" si="14"/>
        <v>0</v>
      </c>
      <c r="AC67" s="236">
        <f t="shared" si="15"/>
        <v>0</v>
      </c>
    </row>
    <row r="68" spans="3:29" x14ac:dyDescent="0.2">
      <c r="C68" s="129">
        <v>59</v>
      </c>
      <c r="D68" s="190">
        <f t="shared" si="16"/>
        <v>45350</v>
      </c>
      <c r="E68" s="129">
        <f t="shared" si="4"/>
        <v>2</v>
      </c>
      <c r="F68" s="191">
        <f t="shared" si="5"/>
        <v>45350</v>
      </c>
      <c r="G68" s="129">
        <f t="shared" si="6"/>
        <v>9</v>
      </c>
      <c r="H68" s="129">
        <f t="shared" si="7"/>
        <v>28</v>
      </c>
      <c r="I68" s="129">
        <f t="shared" si="8"/>
        <v>3</v>
      </c>
      <c r="J68" s="192">
        <f t="shared" si="9"/>
        <v>45350</v>
      </c>
      <c r="K68" s="129" t="str" cm="1">
        <f t="array" ref="K68">IF(AND(I68&lt;7,INDEX(B_tblFTMatrix,$E68,$H68)="x"),"ft","")</f>
        <v/>
      </c>
      <c r="L68" s="129"/>
      <c r="M68" s="129"/>
      <c r="N68" s="129">
        <f t="shared" si="0"/>
        <v>1</v>
      </c>
      <c r="O68" s="129">
        <f t="shared" si="10"/>
        <v>1</v>
      </c>
      <c r="P68" s="231">
        <f t="shared" si="1"/>
        <v>8</v>
      </c>
      <c r="Q68" s="233" cm="1">
        <f t="array" ref="Q68">SUMPRODUCT((H_tblBGTage=I68)*(H_tblBGMnt=E68)*H_tblBG%)</f>
        <v>1</v>
      </c>
      <c r="R68" s="231">
        <f t="shared" si="11"/>
        <v>8</v>
      </c>
      <c r="S68" s="237"/>
      <c r="T68" s="237"/>
      <c r="U68" s="236" cm="1">
        <f t="array" ref="U68">SUMPRODUCT((FEB!M_Verweiszeile=$H68)*FEB!M_ProdTag*(FEB!M_Monat=$E68))</f>
        <v>0</v>
      </c>
      <c r="V68" s="236" cm="1">
        <f t="array" ref="V68">SUMPRODUCT((FEB!M_Verweiszeile=$H68)*FEB!M_ProdN1*(FEB!M_Monat=$E68))</f>
        <v>0</v>
      </c>
      <c r="W68" s="236" cm="1">
        <f t="array" ref="W68">SUMPRODUCT((FEB!M_Verweiszeile=$H68)*FEB!M_ProdN2*(FEB!M_Monat=$E68))</f>
        <v>0</v>
      </c>
      <c r="X68" s="236">
        <f t="shared" si="12"/>
        <v>0</v>
      </c>
      <c r="Y68" s="236">
        <f t="shared" si="2"/>
        <v>0</v>
      </c>
      <c r="Z68" s="236">
        <f t="shared" si="3"/>
        <v>0</v>
      </c>
      <c r="AA68" s="236">
        <f t="shared" si="13"/>
        <v>0</v>
      </c>
      <c r="AB68" s="236">
        <f t="shared" si="14"/>
        <v>0</v>
      </c>
      <c r="AC68" s="236">
        <f t="shared" si="15"/>
        <v>0</v>
      </c>
    </row>
    <row r="69" spans="3:29" x14ac:dyDescent="0.2">
      <c r="C69" s="129">
        <v>60</v>
      </c>
      <c r="D69" s="190">
        <f t="shared" si="16"/>
        <v>45351</v>
      </c>
      <c r="E69" s="129">
        <f t="shared" si="4"/>
        <v>2</v>
      </c>
      <c r="F69" s="191">
        <f t="shared" si="5"/>
        <v>45351</v>
      </c>
      <c r="G69" s="129">
        <f t="shared" si="6"/>
        <v>9</v>
      </c>
      <c r="H69" s="129">
        <f t="shared" si="7"/>
        <v>29</v>
      </c>
      <c r="I69" s="129">
        <f t="shared" si="8"/>
        <v>4</v>
      </c>
      <c r="J69" s="192">
        <f t="shared" si="9"/>
        <v>45351</v>
      </c>
      <c r="K69" s="129" t="str" cm="1">
        <f t="array" ref="K69">IF(AND(I69&lt;7,INDEX(B_tblFTMatrix,$E69,$H69)="x"),"ft","")</f>
        <v/>
      </c>
      <c r="L69" s="129"/>
      <c r="M69" s="129"/>
      <c r="N69" s="129">
        <f t="shared" si="0"/>
        <v>1</v>
      </c>
      <c r="O69" s="129">
        <f t="shared" si="10"/>
        <v>1</v>
      </c>
      <c r="P69" s="231">
        <f t="shared" si="1"/>
        <v>8</v>
      </c>
      <c r="Q69" s="233" cm="1">
        <f t="array" ref="Q69">SUMPRODUCT((H_tblBGTage=I69)*(H_tblBGMnt=E69)*H_tblBG%)</f>
        <v>1</v>
      </c>
      <c r="R69" s="231">
        <f t="shared" si="11"/>
        <v>8</v>
      </c>
      <c r="S69" s="237"/>
      <c r="T69" s="237"/>
      <c r="U69" s="319" cm="1">
        <f t="array" ref="U69">SUMPRODUCT((FEB!M_Verweiszeile=$H69)*FEB!M_ProdTag*(FEB!M_Monat=$E69))+SUMPRODUCT((MRZ!M_Verweiszeile=$H69)*MRZ!M_ProdTag*(MRZ!M_Monat=$E69))</f>
        <v>0</v>
      </c>
      <c r="V69" s="236" cm="1">
        <f t="array" ref="V69">SUMPRODUCT((FEB!M_Verweiszeile=$H69)*FEB!M_ProdN1*(FEB!M_Monat=$E69))+SUMPRODUCT((MRZ!M_Verweiszeile=$H69)*MRZ!M_ProdN1*(MRZ!M_Monat=$E69))</f>
        <v>0</v>
      </c>
      <c r="W69" s="236" cm="1">
        <f t="array" ref="W69">SUMPRODUCT((FEB!M_Verweiszeile=$H69)*FEB!M_ProdN2*(FEB!M_Monat=$E69))+SUMPRODUCT((MRZ!M_Verweiszeile=$H69)*MRZ!M_ProdN2*(MRZ!M_Monat=$E69))</f>
        <v>0</v>
      </c>
      <c r="X69" s="236">
        <f t="shared" si="12"/>
        <v>0</v>
      </c>
      <c r="Y69" s="236">
        <f t="shared" si="2"/>
        <v>0</v>
      </c>
      <c r="Z69" s="236">
        <f t="shared" si="3"/>
        <v>0</v>
      </c>
      <c r="AA69" s="236">
        <f t="shared" si="13"/>
        <v>0</v>
      </c>
      <c r="AB69" s="236">
        <f t="shared" si="14"/>
        <v>0</v>
      </c>
      <c r="AC69" s="236">
        <f t="shared" si="15"/>
        <v>0</v>
      </c>
    </row>
    <row r="70" spans="3:29" x14ac:dyDescent="0.2">
      <c r="C70" s="129">
        <v>61</v>
      </c>
      <c r="D70" s="190">
        <f t="shared" si="16"/>
        <v>45352</v>
      </c>
      <c r="E70" s="129">
        <f t="shared" si="4"/>
        <v>3</v>
      </c>
      <c r="F70" s="191">
        <f t="shared" si="5"/>
        <v>45352</v>
      </c>
      <c r="G70" s="129">
        <f t="shared" si="6"/>
        <v>9</v>
      </c>
      <c r="H70" s="129">
        <f t="shared" si="7"/>
        <v>1</v>
      </c>
      <c r="I70" s="129">
        <f t="shared" si="8"/>
        <v>5</v>
      </c>
      <c r="J70" s="192">
        <f t="shared" si="9"/>
        <v>45352</v>
      </c>
      <c r="K70" s="129" t="str" cm="1">
        <f t="array" ref="K70">IF(AND(I70&lt;7,INDEX(B_tblFTMatrix,$E70,$H70)="x"),"ft","")</f>
        <v/>
      </c>
      <c r="L70" s="129"/>
      <c r="M70" s="129"/>
      <c r="N70" s="129">
        <f t="shared" si="0"/>
        <v>1</v>
      </c>
      <c r="O70" s="129">
        <f t="shared" si="10"/>
        <v>1</v>
      </c>
      <c r="P70" s="231">
        <f t="shared" si="1"/>
        <v>8</v>
      </c>
      <c r="Q70" s="233" cm="1">
        <f t="array" ref="Q70">SUMPRODUCT((H_tblBGTage=I70)*(H_tblBGMnt=E70)*H_tblBG%)</f>
        <v>1</v>
      </c>
      <c r="R70" s="231">
        <f t="shared" si="11"/>
        <v>8</v>
      </c>
      <c r="S70" s="237"/>
      <c r="T70" s="237"/>
      <c r="U70" s="319" cm="1">
        <f t="array" ref="U70">SUMPRODUCT((MRZ!M_Verweiszeile=$H70)*MRZ!M_ProdTag*(MRZ!M_Monat=$E70))</f>
        <v>0</v>
      </c>
      <c r="V70" s="236" cm="1">
        <f t="array" ref="V70">SUMPRODUCT((MRZ!M_Verweiszeile=$H70)*MRZ!M_ProdN1*(MRZ!M_Monat=$E70))</f>
        <v>0</v>
      </c>
      <c r="W70" s="236" cm="1">
        <f t="array" ref="W70">SUMPRODUCT((MRZ!M_Verweiszeile=$H70)*MRZ!M_ProdN2*(MRZ!M_Monat=$E70))</f>
        <v>0</v>
      </c>
      <c r="X70" s="236">
        <f t="shared" si="12"/>
        <v>0</v>
      </c>
      <c r="Y70" s="236">
        <f t="shared" si="2"/>
        <v>0</v>
      </c>
      <c r="Z70" s="236">
        <f t="shared" si="3"/>
        <v>0</v>
      </c>
      <c r="AA70" s="236">
        <f t="shared" si="13"/>
        <v>0</v>
      </c>
      <c r="AB70" s="236">
        <f t="shared" si="14"/>
        <v>0</v>
      </c>
      <c r="AC70" s="236">
        <f t="shared" si="15"/>
        <v>0</v>
      </c>
    </row>
    <row r="71" spans="3:29" x14ac:dyDescent="0.2">
      <c r="C71" s="129">
        <v>62</v>
      </c>
      <c r="D71" s="190">
        <f t="shared" si="16"/>
        <v>45353</v>
      </c>
      <c r="E71" s="129">
        <f t="shared" si="4"/>
        <v>3</v>
      </c>
      <c r="F71" s="191">
        <f t="shared" si="5"/>
        <v>45353</v>
      </c>
      <c r="G71" s="129">
        <f t="shared" si="6"/>
        <v>9</v>
      </c>
      <c r="H71" s="129">
        <f t="shared" si="7"/>
        <v>2</v>
      </c>
      <c r="I71" s="129">
        <f t="shared" si="8"/>
        <v>6</v>
      </c>
      <c r="J71" s="192">
        <f t="shared" si="9"/>
        <v>45353</v>
      </c>
      <c r="K71" s="129" t="str" cm="1">
        <f t="array" ref="K71">IF(AND(I71&lt;7,INDEX(B_tblFTMatrix,$E71,$H71)="x"),"ft","")</f>
        <v/>
      </c>
      <c r="L71" s="129"/>
      <c r="M71" s="129"/>
      <c r="N71" s="129">
        <f t="shared" si="0"/>
        <v>0</v>
      </c>
      <c r="O71" s="129">
        <f t="shared" si="10"/>
        <v>0</v>
      </c>
      <c r="P71" s="231">
        <f t="shared" si="1"/>
        <v>0</v>
      </c>
      <c r="Q71" s="233" cm="1">
        <f t="array" ref="Q71">SUMPRODUCT((H_tblBGTage=I71)*(H_tblBGMnt=E71)*H_tblBG%)</f>
        <v>0</v>
      </c>
      <c r="R71" s="231">
        <f t="shared" si="11"/>
        <v>0</v>
      </c>
      <c r="S71" s="237"/>
      <c r="T71" s="237"/>
      <c r="U71" s="236" cm="1">
        <f t="array" ref="U71">SUMPRODUCT((MRZ!M_Verweiszeile=$H71)*MRZ!M_ProdTag*(MRZ!M_Monat=$E71))</f>
        <v>0</v>
      </c>
      <c r="V71" s="236" cm="1">
        <f t="array" ref="V71">SUMPRODUCT((MRZ!M_Verweiszeile=$H71)*MRZ!M_ProdN1*(MRZ!M_Monat=$E71))</f>
        <v>0</v>
      </c>
      <c r="W71" s="236" cm="1">
        <f t="array" ref="W71">SUMPRODUCT((MRZ!M_Verweiszeile=$H71)*MRZ!M_ProdN2*(MRZ!M_Monat=$E71))</f>
        <v>0</v>
      </c>
      <c r="X71" s="236">
        <f t="shared" si="12"/>
        <v>0</v>
      </c>
      <c r="Y71" s="236">
        <f t="shared" si="2"/>
        <v>0</v>
      </c>
      <c r="Z71" s="236">
        <f t="shared" si="3"/>
        <v>0</v>
      </c>
      <c r="AA71" s="236">
        <f t="shared" si="13"/>
        <v>0</v>
      </c>
      <c r="AB71" s="236">
        <f t="shared" si="14"/>
        <v>0</v>
      </c>
      <c r="AC71" s="236">
        <f t="shared" si="15"/>
        <v>0</v>
      </c>
    </row>
    <row r="72" spans="3:29" x14ac:dyDescent="0.2">
      <c r="C72" s="129">
        <v>63</v>
      </c>
      <c r="D72" s="190">
        <f t="shared" si="16"/>
        <v>45354</v>
      </c>
      <c r="E72" s="129">
        <f t="shared" si="4"/>
        <v>3</v>
      </c>
      <c r="F72" s="191">
        <f t="shared" si="5"/>
        <v>45354</v>
      </c>
      <c r="G72" s="129">
        <f t="shared" si="6"/>
        <v>9</v>
      </c>
      <c r="H72" s="129">
        <f t="shared" si="7"/>
        <v>3</v>
      </c>
      <c r="I72" s="129">
        <f t="shared" si="8"/>
        <v>7</v>
      </c>
      <c r="J72" s="192">
        <f t="shared" si="9"/>
        <v>45354</v>
      </c>
      <c r="K72" s="129" t="str" cm="1">
        <f t="array" ref="K72">IF(AND(I72&lt;7,INDEX(B_tblFTMatrix,$E72,$H72)="x"),"ft","")</f>
        <v/>
      </c>
      <c r="L72" s="129"/>
      <c r="M72" s="129"/>
      <c r="N72" s="129">
        <f t="shared" si="0"/>
        <v>0</v>
      </c>
      <c r="O72" s="129">
        <f t="shared" si="10"/>
        <v>0</v>
      </c>
      <c r="P72" s="231">
        <f t="shared" si="1"/>
        <v>0</v>
      </c>
      <c r="Q72" s="233" cm="1">
        <f t="array" ref="Q72">SUMPRODUCT((H_tblBGTage=I72)*(H_tblBGMnt=E72)*H_tblBG%)</f>
        <v>0</v>
      </c>
      <c r="R72" s="231">
        <f t="shared" si="11"/>
        <v>0</v>
      </c>
      <c r="S72" s="237"/>
      <c r="T72" s="237"/>
      <c r="U72" s="236" cm="1">
        <f t="array" ref="U72">SUMPRODUCT((MRZ!M_Verweiszeile=$H72)*MRZ!M_ProdTag*(MRZ!M_Monat=$E72))</f>
        <v>0</v>
      </c>
      <c r="V72" s="236" cm="1">
        <f t="array" ref="V72">SUMPRODUCT((MRZ!M_Verweiszeile=$H72)*MRZ!M_ProdN1*(MRZ!M_Monat=$E72))</f>
        <v>0</v>
      </c>
      <c r="W72" s="236" cm="1">
        <f t="array" ref="W72">SUMPRODUCT((MRZ!M_Verweiszeile=$H72)*MRZ!M_ProdN2*(MRZ!M_Monat=$E72))</f>
        <v>0</v>
      </c>
      <c r="X72" s="236">
        <f t="shared" si="12"/>
        <v>0</v>
      </c>
      <c r="Y72" s="236">
        <f t="shared" si="2"/>
        <v>0</v>
      </c>
      <c r="Z72" s="236">
        <f t="shared" si="3"/>
        <v>0</v>
      </c>
      <c r="AA72" s="236">
        <f t="shared" si="13"/>
        <v>0</v>
      </c>
      <c r="AB72" s="236">
        <f t="shared" si="14"/>
        <v>0</v>
      </c>
      <c r="AC72" s="236">
        <f t="shared" si="15"/>
        <v>0</v>
      </c>
    </row>
    <row r="73" spans="3:29" x14ac:dyDescent="0.2">
      <c r="C73" s="129">
        <v>64</v>
      </c>
      <c r="D73" s="190">
        <f t="shared" si="16"/>
        <v>45355</v>
      </c>
      <c r="E73" s="129">
        <f t="shared" si="4"/>
        <v>3</v>
      </c>
      <c r="F73" s="191">
        <f t="shared" si="5"/>
        <v>45355</v>
      </c>
      <c r="G73" s="129">
        <f t="shared" si="6"/>
        <v>10</v>
      </c>
      <c r="H73" s="129">
        <f t="shared" si="7"/>
        <v>4</v>
      </c>
      <c r="I73" s="129">
        <f t="shared" si="8"/>
        <v>1</v>
      </c>
      <c r="J73" s="192">
        <f t="shared" si="9"/>
        <v>45355</v>
      </c>
      <c r="K73" s="129" t="str" cm="1">
        <f t="array" ref="K73">IF(AND(I73&lt;7,INDEX(B_tblFTMatrix,$E73,$H73)="x"),"ft","")</f>
        <v/>
      </c>
      <c r="L73" s="129"/>
      <c r="M73" s="129"/>
      <c r="N73" s="129">
        <f t="shared" si="0"/>
        <v>1</v>
      </c>
      <c r="O73" s="129">
        <f t="shared" si="10"/>
        <v>1</v>
      </c>
      <c r="P73" s="231">
        <f t="shared" si="1"/>
        <v>8</v>
      </c>
      <c r="Q73" s="233" cm="1">
        <f t="array" ref="Q73">SUMPRODUCT((H_tblBGTage=I73)*(H_tblBGMnt=E73)*H_tblBG%)</f>
        <v>1</v>
      </c>
      <c r="R73" s="231">
        <f t="shared" si="11"/>
        <v>8</v>
      </c>
      <c r="S73" s="237"/>
      <c r="T73" s="237"/>
      <c r="U73" s="236" cm="1">
        <f t="array" ref="U73">SUMPRODUCT((MRZ!M_Verweiszeile=$H73)*MRZ!M_ProdTag*(MRZ!M_Monat=$E73))</f>
        <v>0</v>
      </c>
      <c r="V73" s="236" cm="1">
        <f t="array" ref="V73">SUMPRODUCT((MRZ!M_Verweiszeile=$H73)*MRZ!M_ProdN1*(MRZ!M_Monat=$E73))</f>
        <v>0</v>
      </c>
      <c r="W73" s="236" cm="1">
        <f t="array" ref="W73">SUMPRODUCT((MRZ!M_Verweiszeile=$H73)*MRZ!M_ProdN2*(MRZ!M_Monat=$E73))</f>
        <v>0</v>
      </c>
      <c r="X73" s="236">
        <f t="shared" si="12"/>
        <v>0</v>
      </c>
      <c r="Y73" s="236">
        <f t="shared" si="2"/>
        <v>0</v>
      </c>
      <c r="Z73" s="236">
        <f t="shared" si="3"/>
        <v>0</v>
      </c>
      <c r="AA73" s="236">
        <f t="shared" si="13"/>
        <v>0</v>
      </c>
      <c r="AB73" s="236">
        <f t="shared" si="14"/>
        <v>0</v>
      </c>
      <c r="AC73" s="236">
        <f t="shared" si="15"/>
        <v>0</v>
      </c>
    </row>
    <row r="74" spans="3:29" x14ac:dyDescent="0.2">
      <c r="C74" s="129">
        <v>65</v>
      </c>
      <c r="D74" s="190">
        <f t="shared" si="16"/>
        <v>45356</v>
      </c>
      <c r="E74" s="129">
        <f t="shared" si="4"/>
        <v>3</v>
      </c>
      <c r="F74" s="191">
        <f t="shared" si="5"/>
        <v>45356</v>
      </c>
      <c r="G74" s="129">
        <f t="shared" si="6"/>
        <v>10</v>
      </c>
      <c r="H74" s="129">
        <f t="shared" si="7"/>
        <v>5</v>
      </c>
      <c r="I74" s="129">
        <f t="shared" si="8"/>
        <v>2</v>
      </c>
      <c r="J74" s="192">
        <f t="shared" si="9"/>
        <v>45356</v>
      </c>
      <c r="K74" s="129" t="str" cm="1">
        <f t="array" ref="K74">IF(AND(I74&lt;7,INDEX(B_tblFTMatrix,$E74,$H74)="x"),"ft","")</f>
        <v/>
      </c>
      <c r="L74" s="129"/>
      <c r="M74" s="129"/>
      <c r="N74" s="129">
        <f t="shared" ref="N74:N137" si="17">IF(I74&lt;6,1,0)</f>
        <v>1</v>
      </c>
      <c r="O74" s="129">
        <f t="shared" si="10"/>
        <v>1</v>
      </c>
      <c r="P74" s="231">
        <f t="shared" ref="P74:P137" si="18">IFERROR($E$3*N74,0)</f>
        <v>8</v>
      </c>
      <c r="Q74" s="233" cm="1">
        <f t="array" ref="Q74">SUMPRODUCT((H_tblBGTage=I74)*(H_tblBGMnt=E74)*H_tblBG%)</f>
        <v>1</v>
      </c>
      <c r="R74" s="231">
        <f t="shared" si="11"/>
        <v>8</v>
      </c>
      <c r="S74" s="237"/>
      <c r="T74" s="237"/>
      <c r="U74" s="236" cm="1">
        <f t="array" ref="U74">SUMPRODUCT((MRZ!M_Verweiszeile=$H74)*MRZ!M_ProdTag*(MRZ!M_Monat=$E74))</f>
        <v>0</v>
      </c>
      <c r="V74" s="236" cm="1">
        <f t="array" ref="V74">SUMPRODUCT((MRZ!M_Verweiszeile=$H74)*MRZ!M_ProdN1*(MRZ!M_Monat=$E74))</f>
        <v>0</v>
      </c>
      <c r="W74" s="236" cm="1">
        <f t="array" ref="W74">SUMPRODUCT((MRZ!M_Verweiszeile=$H74)*MRZ!M_ProdN2*(MRZ!M_Monat=$E74))</f>
        <v>0</v>
      </c>
      <c r="X74" s="236">
        <f t="shared" si="12"/>
        <v>0</v>
      </c>
      <c r="Y74" s="236">
        <f t="shared" ref="Y74:Y137" si="19">IFERROR(IF($K74="ft",R74,0),0)</f>
        <v>0</v>
      </c>
      <c r="Z74" s="236">
        <f t="shared" ref="Z74:Z137" si="20">SUM(V74:W74)*A_fldZ2</f>
        <v>0</v>
      </c>
      <c r="AA74" s="236">
        <f t="shared" si="13"/>
        <v>0</v>
      </c>
      <c r="AB74" s="236">
        <f t="shared" si="14"/>
        <v>0</v>
      </c>
      <c r="AC74" s="236">
        <f t="shared" si="15"/>
        <v>0</v>
      </c>
    </row>
    <row r="75" spans="3:29" x14ac:dyDescent="0.2">
      <c r="C75" s="129">
        <v>66</v>
      </c>
      <c r="D75" s="190">
        <f t="shared" si="16"/>
        <v>45357</v>
      </c>
      <c r="E75" s="129">
        <f t="shared" ref="E75:E138" si="21">MONTH(D75)</f>
        <v>3</v>
      </c>
      <c r="F75" s="191">
        <f t="shared" ref="F75:F138" si="22">D75</f>
        <v>45357</v>
      </c>
      <c r="G75" s="129">
        <f t="shared" ref="G75:G138" si="23">_xlfn.ISOWEEKNUM(D75)</f>
        <v>10</v>
      </c>
      <c r="H75" s="129">
        <f t="shared" ref="H75:H138" si="24">DAY(D75)</f>
        <v>6</v>
      </c>
      <c r="I75" s="129">
        <f t="shared" ref="I75:I138" si="25">WEEKDAY(D75,2)</f>
        <v>3</v>
      </c>
      <c r="J75" s="192">
        <f t="shared" ref="J75:J138" si="26">D75</f>
        <v>45357</v>
      </c>
      <c r="K75" s="129" t="str" cm="1">
        <f t="array" ref="K75">IF(AND(I75&lt;7,INDEX(B_tblFTMatrix,$E75,$H75)="x"),"ft","")</f>
        <v/>
      </c>
      <c r="L75" s="129"/>
      <c r="M75" s="129"/>
      <c r="N75" s="129">
        <f t="shared" si="17"/>
        <v>1</v>
      </c>
      <c r="O75" s="129">
        <f t="shared" ref="O75:O138" si="27">IF(AND(L75&lt;&gt;"x",N75),1,0)</f>
        <v>1</v>
      </c>
      <c r="P75" s="231">
        <f t="shared" si="18"/>
        <v>8</v>
      </c>
      <c r="Q75" s="233" cm="1">
        <f t="array" ref="Q75">SUMPRODUCT((H_tblBGTage=I75)*(H_tblBGMnt=E75)*H_tblBG%)</f>
        <v>1</v>
      </c>
      <c r="R75" s="231">
        <f t="shared" ref="R75:R138" si="28">IFERROR(P75*Q75,0)</f>
        <v>8</v>
      </c>
      <c r="S75" s="237"/>
      <c r="T75" s="237"/>
      <c r="U75" s="236" cm="1">
        <f t="array" ref="U75">SUMPRODUCT((MRZ!M_Verweiszeile=$H75)*MRZ!M_ProdTag*(MRZ!M_Monat=$E75))</f>
        <v>0</v>
      </c>
      <c r="V75" s="236" cm="1">
        <f t="array" ref="V75">SUMPRODUCT((MRZ!M_Verweiszeile=$H75)*MRZ!M_ProdN1*(MRZ!M_Monat=$E75))</f>
        <v>0</v>
      </c>
      <c r="W75" s="236" cm="1">
        <f t="array" ref="W75">SUMPRODUCT((MRZ!M_Verweiszeile=$H75)*MRZ!M_ProdN2*(MRZ!M_Monat=$E75))</f>
        <v>0</v>
      </c>
      <c r="X75" s="236">
        <f t="shared" ref="X75:X138" si="29">SUM(U75:W75)</f>
        <v>0</v>
      </c>
      <c r="Y75" s="236">
        <f t="shared" si="19"/>
        <v>0</v>
      </c>
      <c r="Z75" s="236">
        <f t="shared" si="20"/>
        <v>0</v>
      </c>
      <c r="AA75" s="236">
        <f t="shared" ref="AA75:AA138" si="30">IF(OR(I75=7,K75="ft"),X75,0)</f>
        <v>0</v>
      </c>
      <c r="AB75" s="236">
        <f t="shared" ref="AB75:AB138" si="31">SUM(Y75:AA75)</f>
        <v>0</v>
      </c>
      <c r="AC75" s="236">
        <f t="shared" ref="AC75:AC138" si="32">X75+AB75</f>
        <v>0</v>
      </c>
    </row>
    <row r="76" spans="3:29" x14ac:dyDescent="0.2">
      <c r="C76" s="129">
        <v>67</v>
      </c>
      <c r="D76" s="190">
        <f t="shared" ref="D76:D139" si="33">D75+1</f>
        <v>45358</v>
      </c>
      <c r="E76" s="129">
        <f t="shared" si="21"/>
        <v>3</v>
      </c>
      <c r="F76" s="191">
        <f t="shared" si="22"/>
        <v>45358</v>
      </c>
      <c r="G76" s="129">
        <f t="shared" si="23"/>
        <v>10</v>
      </c>
      <c r="H76" s="129">
        <f t="shared" si="24"/>
        <v>7</v>
      </c>
      <c r="I76" s="129">
        <f t="shared" si="25"/>
        <v>4</v>
      </c>
      <c r="J76" s="192">
        <f t="shared" si="26"/>
        <v>45358</v>
      </c>
      <c r="K76" s="129" t="str" cm="1">
        <f t="array" ref="K76">IF(AND(I76&lt;7,INDEX(B_tblFTMatrix,$E76,$H76)="x"),"ft","")</f>
        <v/>
      </c>
      <c r="L76" s="129"/>
      <c r="M76" s="129"/>
      <c r="N76" s="129">
        <f t="shared" si="17"/>
        <v>1</v>
      </c>
      <c r="O76" s="129">
        <f t="shared" si="27"/>
        <v>1</v>
      </c>
      <c r="P76" s="231">
        <f t="shared" si="18"/>
        <v>8</v>
      </c>
      <c r="Q76" s="233" cm="1">
        <f t="array" ref="Q76">SUMPRODUCT((H_tblBGTage=I76)*(H_tblBGMnt=E76)*H_tblBG%)</f>
        <v>1</v>
      </c>
      <c r="R76" s="231">
        <f t="shared" si="28"/>
        <v>8</v>
      </c>
      <c r="S76" s="237"/>
      <c r="T76" s="237"/>
      <c r="U76" s="236" cm="1">
        <f t="array" ref="U76">SUMPRODUCT((MRZ!M_Verweiszeile=$H76)*MRZ!M_ProdTag*(MRZ!M_Monat=$E76))</f>
        <v>0</v>
      </c>
      <c r="V76" s="236" cm="1">
        <f t="array" ref="V76">SUMPRODUCT((MRZ!M_Verweiszeile=$H76)*MRZ!M_ProdN1*(MRZ!M_Monat=$E76))</f>
        <v>0</v>
      </c>
      <c r="W76" s="236" cm="1">
        <f t="array" ref="W76">SUMPRODUCT((MRZ!M_Verweiszeile=$H76)*MRZ!M_ProdN2*(MRZ!M_Monat=$E76))</f>
        <v>0</v>
      </c>
      <c r="X76" s="236">
        <f t="shared" si="29"/>
        <v>0</v>
      </c>
      <c r="Y76" s="236">
        <f t="shared" si="19"/>
        <v>0</v>
      </c>
      <c r="Z76" s="236">
        <f t="shared" si="20"/>
        <v>0</v>
      </c>
      <c r="AA76" s="236">
        <f t="shared" si="30"/>
        <v>0</v>
      </c>
      <c r="AB76" s="236">
        <f t="shared" si="31"/>
        <v>0</v>
      </c>
      <c r="AC76" s="236">
        <f t="shared" si="32"/>
        <v>0</v>
      </c>
    </row>
    <row r="77" spans="3:29" x14ac:dyDescent="0.2">
      <c r="C77" s="129">
        <v>68</v>
      </c>
      <c r="D77" s="190">
        <f t="shared" si="33"/>
        <v>45359</v>
      </c>
      <c r="E77" s="129">
        <f t="shared" si="21"/>
        <v>3</v>
      </c>
      <c r="F77" s="191">
        <f t="shared" si="22"/>
        <v>45359</v>
      </c>
      <c r="G77" s="129">
        <f t="shared" si="23"/>
        <v>10</v>
      </c>
      <c r="H77" s="129">
        <f t="shared" si="24"/>
        <v>8</v>
      </c>
      <c r="I77" s="129">
        <f t="shared" si="25"/>
        <v>5</v>
      </c>
      <c r="J77" s="192">
        <f t="shared" si="26"/>
        <v>45359</v>
      </c>
      <c r="K77" s="129" t="str" cm="1">
        <f t="array" ref="K77">IF(AND(I77&lt;7,INDEX(B_tblFTMatrix,$E77,$H77)="x"),"ft","")</f>
        <v/>
      </c>
      <c r="L77" s="129"/>
      <c r="M77" s="129"/>
      <c r="N77" s="129">
        <f t="shared" si="17"/>
        <v>1</v>
      </c>
      <c r="O77" s="129">
        <f t="shared" si="27"/>
        <v>1</v>
      </c>
      <c r="P77" s="231">
        <f t="shared" si="18"/>
        <v>8</v>
      </c>
      <c r="Q77" s="233" cm="1">
        <f t="array" ref="Q77">SUMPRODUCT((H_tblBGTage=I77)*(H_tblBGMnt=E77)*H_tblBG%)</f>
        <v>1</v>
      </c>
      <c r="R77" s="231">
        <f t="shared" si="28"/>
        <v>8</v>
      </c>
      <c r="S77" s="237"/>
      <c r="T77" s="237"/>
      <c r="U77" s="236" cm="1">
        <f t="array" ref="U77">SUMPRODUCT((MRZ!M_Verweiszeile=$H77)*MRZ!M_ProdTag*(MRZ!M_Monat=$E77))</f>
        <v>0</v>
      </c>
      <c r="V77" s="236" cm="1">
        <f t="array" ref="V77">SUMPRODUCT((MRZ!M_Verweiszeile=$H77)*MRZ!M_ProdN1*(MRZ!M_Monat=$E77))</f>
        <v>0</v>
      </c>
      <c r="W77" s="236" cm="1">
        <f t="array" ref="W77">SUMPRODUCT((MRZ!M_Verweiszeile=$H77)*MRZ!M_ProdN2*(MRZ!M_Monat=$E77))</f>
        <v>0</v>
      </c>
      <c r="X77" s="236">
        <f t="shared" si="29"/>
        <v>0</v>
      </c>
      <c r="Y77" s="236">
        <f t="shared" si="19"/>
        <v>0</v>
      </c>
      <c r="Z77" s="236">
        <f t="shared" si="20"/>
        <v>0</v>
      </c>
      <c r="AA77" s="236">
        <f t="shared" si="30"/>
        <v>0</v>
      </c>
      <c r="AB77" s="236">
        <f t="shared" si="31"/>
        <v>0</v>
      </c>
      <c r="AC77" s="236">
        <f t="shared" si="32"/>
        <v>0</v>
      </c>
    </row>
    <row r="78" spans="3:29" x14ac:dyDescent="0.2">
      <c r="C78" s="129">
        <v>69</v>
      </c>
      <c r="D78" s="190">
        <f t="shared" si="33"/>
        <v>45360</v>
      </c>
      <c r="E78" s="129">
        <f t="shared" si="21"/>
        <v>3</v>
      </c>
      <c r="F78" s="191">
        <f t="shared" si="22"/>
        <v>45360</v>
      </c>
      <c r="G78" s="129">
        <f t="shared" si="23"/>
        <v>10</v>
      </c>
      <c r="H78" s="129">
        <f t="shared" si="24"/>
        <v>9</v>
      </c>
      <c r="I78" s="129">
        <f t="shared" si="25"/>
        <v>6</v>
      </c>
      <c r="J78" s="192">
        <f t="shared" si="26"/>
        <v>45360</v>
      </c>
      <c r="K78" s="129" t="str" cm="1">
        <f t="array" ref="K78">IF(AND(I78&lt;7,INDEX(B_tblFTMatrix,$E78,$H78)="x"),"ft","")</f>
        <v/>
      </c>
      <c r="L78" s="129"/>
      <c r="M78" s="129"/>
      <c r="N78" s="129">
        <f t="shared" si="17"/>
        <v>0</v>
      </c>
      <c r="O78" s="129">
        <f t="shared" si="27"/>
        <v>0</v>
      </c>
      <c r="P78" s="231">
        <f t="shared" si="18"/>
        <v>0</v>
      </c>
      <c r="Q78" s="233" cm="1">
        <f t="array" ref="Q78">SUMPRODUCT((H_tblBGTage=I78)*(H_tblBGMnt=E78)*H_tblBG%)</f>
        <v>0</v>
      </c>
      <c r="R78" s="231">
        <f t="shared" si="28"/>
        <v>0</v>
      </c>
      <c r="S78" s="237"/>
      <c r="T78" s="237"/>
      <c r="U78" s="236" cm="1">
        <f t="array" ref="U78">SUMPRODUCT((MRZ!M_Verweiszeile=$H78)*MRZ!M_ProdTag*(MRZ!M_Monat=$E78))</f>
        <v>0</v>
      </c>
      <c r="V78" s="236" cm="1">
        <f t="array" ref="V78">SUMPRODUCT((MRZ!M_Verweiszeile=$H78)*MRZ!M_ProdN1*(MRZ!M_Monat=$E78))</f>
        <v>0</v>
      </c>
      <c r="W78" s="236" cm="1">
        <f t="array" ref="W78">SUMPRODUCT((MRZ!M_Verweiszeile=$H78)*MRZ!M_ProdN2*(MRZ!M_Monat=$E78))</f>
        <v>0</v>
      </c>
      <c r="X78" s="236">
        <f t="shared" si="29"/>
        <v>0</v>
      </c>
      <c r="Y78" s="236">
        <f t="shared" si="19"/>
        <v>0</v>
      </c>
      <c r="Z78" s="236">
        <f t="shared" si="20"/>
        <v>0</v>
      </c>
      <c r="AA78" s="236">
        <f t="shared" si="30"/>
        <v>0</v>
      </c>
      <c r="AB78" s="236">
        <f t="shared" si="31"/>
        <v>0</v>
      </c>
      <c r="AC78" s="236">
        <f t="shared" si="32"/>
        <v>0</v>
      </c>
    </row>
    <row r="79" spans="3:29" x14ac:dyDescent="0.2">
      <c r="C79" s="129">
        <v>70</v>
      </c>
      <c r="D79" s="190">
        <f t="shared" si="33"/>
        <v>45361</v>
      </c>
      <c r="E79" s="129">
        <f t="shared" si="21"/>
        <v>3</v>
      </c>
      <c r="F79" s="191">
        <f t="shared" si="22"/>
        <v>45361</v>
      </c>
      <c r="G79" s="129">
        <f t="shared" si="23"/>
        <v>10</v>
      </c>
      <c r="H79" s="129">
        <f t="shared" si="24"/>
        <v>10</v>
      </c>
      <c r="I79" s="129">
        <f t="shared" si="25"/>
        <v>7</v>
      </c>
      <c r="J79" s="192">
        <f t="shared" si="26"/>
        <v>45361</v>
      </c>
      <c r="K79" s="129" t="str" cm="1">
        <f t="array" ref="K79">IF(AND(I79&lt;7,INDEX(B_tblFTMatrix,$E79,$H79)="x"),"ft","")</f>
        <v/>
      </c>
      <c r="L79" s="129"/>
      <c r="M79" s="129"/>
      <c r="N79" s="129">
        <f t="shared" si="17"/>
        <v>0</v>
      </c>
      <c r="O79" s="129">
        <f t="shared" si="27"/>
        <v>0</v>
      </c>
      <c r="P79" s="231">
        <f t="shared" si="18"/>
        <v>0</v>
      </c>
      <c r="Q79" s="233" cm="1">
        <f t="array" ref="Q79">SUMPRODUCT((H_tblBGTage=I79)*(H_tblBGMnt=E79)*H_tblBG%)</f>
        <v>0</v>
      </c>
      <c r="R79" s="231">
        <f t="shared" si="28"/>
        <v>0</v>
      </c>
      <c r="S79" s="237"/>
      <c r="T79" s="237"/>
      <c r="U79" s="236" cm="1">
        <f t="array" ref="U79">SUMPRODUCT((MRZ!M_Verweiszeile=$H79)*MRZ!M_ProdTag*(MRZ!M_Monat=$E79))</f>
        <v>0</v>
      </c>
      <c r="V79" s="236" cm="1">
        <f t="array" ref="V79">SUMPRODUCT((MRZ!M_Verweiszeile=$H79)*MRZ!M_ProdN1*(MRZ!M_Monat=$E79))</f>
        <v>0</v>
      </c>
      <c r="W79" s="236" cm="1">
        <f t="array" ref="W79">SUMPRODUCT((MRZ!M_Verweiszeile=$H79)*MRZ!M_ProdN2*(MRZ!M_Monat=$E79))</f>
        <v>0</v>
      </c>
      <c r="X79" s="236">
        <f t="shared" si="29"/>
        <v>0</v>
      </c>
      <c r="Y79" s="236">
        <f t="shared" si="19"/>
        <v>0</v>
      </c>
      <c r="Z79" s="236">
        <f t="shared" si="20"/>
        <v>0</v>
      </c>
      <c r="AA79" s="236">
        <f t="shared" si="30"/>
        <v>0</v>
      </c>
      <c r="AB79" s="236">
        <f t="shared" si="31"/>
        <v>0</v>
      </c>
      <c r="AC79" s="236">
        <f t="shared" si="32"/>
        <v>0</v>
      </c>
    </row>
    <row r="80" spans="3:29" x14ac:dyDescent="0.2">
      <c r="C80" s="129">
        <v>71</v>
      </c>
      <c r="D80" s="190">
        <f t="shared" si="33"/>
        <v>45362</v>
      </c>
      <c r="E80" s="129">
        <f t="shared" si="21"/>
        <v>3</v>
      </c>
      <c r="F80" s="191">
        <f t="shared" si="22"/>
        <v>45362</v>
      </c>
      <c r="G80" s="129">
        <f t="shared" si="23"/>
        <v>11</v>
      </c>
      <c r="H80" s="129">
        <f t="shared" si="24"/>
        <v>11</v>
      </c>
      <c r="I80" s="129">
        <f t="shared" si="25"/>
        <v>1</v>
      </c>
      <c r="J80" s="192">
        <f t="shared" si="26"/>
        <v>45362</v>
      </c>
      <c r="K80" s="129" t="str" cm="1">
        <f t="array" ref="K80">IF(AND(I80&lt;7,INDEX(B_tblFTMatrix,$E80,$H80)="x"),"ft","")</f>
        <v/>
      </c>
      <c r="L80" s="129"/>
      <c r="M80" s="129"/>
      <c r="N80" s="129">
        <f t="shared" si="17"/>
        <v>1</v>
      </c>
      <c r="O80" s="129">
        <f t="shared" si="27"/>
        <v>1</v>
      </c>
      <c r="P80" s="231">
        <f t="shared" si="18"/>
        <v>8</v>
      </c>
      <c r="Q80" s="233" cm="1">
        <f t="array" ref="Q80">SUMPRODUCT((H_tblBGTage=I80)*(H_tblBGMnt=E80)*H_tblBG%)</f>
        <v>1</v>
      </c>
      <c r="R80" s="231">
        <f t="shared" si="28"/>
        <v>8</v>
      </c>
      <c r="S80" s="237"/>
      <c r="T80" s="237"/>
      <c r="U80" s="236" cm="1">
        <f t="array" ref="U80">SUMPRODUCT((MRZ!M_Verweiszeile=$H80)*MRZ!M_ProdTag*(MRZ!M_Monat=$E80))</f>
        <v>0</v>
      </c>
      <c r="V80" s="236" cm="1">
        <f t="array" ref="V80">SUMPRODUCT((MRZ!M_Verweiszeile=$H80)*MRZ!M_ProdN1*(MRZ!M_Monat=$E80))</f>
        <v>0</v>
      </c>
      <c r="W80" s="236" cm="1">
        <f t="array" ref="W80">SUMPRODUCT((MRZ!M_Verweiszeile=$H80)*MRZ!M_ProdN2*(MRZ!M_Monat=$E80))</f>
        <v>0</v>
      </c>
      <c r="X80" s="236">
        <f t="shared" si="29"/>
        <v>0</v>
      </c>
      <c r="Y80" s="236">
        <f t="shared" si="19"/>
        <v>0</v>
      </c>
      <c r="Z80" s="236">
        <f t="shared" si="20"/>
        <v>0</v>
      </c>
      <c r="AA80" s="236">
        <f t="shared" si="30"/>
        <v>0</v>
      </c>
      <c r="AB80" s="236">
        <f t="shared" si="31"/>
        <v>0</v>
      </c>
      <c r="AC80" s="236">
        <f t="shared" si="32"/>
        <v>0</v>
      </c>
    </row>
    <row r="81" spans="3:29" x14ac:dyDescent="0.2">
      <c r="C81" s="129">
        <v>72</v>
      </c>
      <c r="D81" s="190">
        <f t="shared" si="33"/>
        <v>45363</v>
      </c>
      <c r="E81" s="129">
        <f t="shared" si="21"/>
        <v>3</v>
      </c>
      <c r="F81" s="191">
        <f t="shared" si="22"/>
        <v>45363</v>
      </c>
      <c r="G81" s="129">
        <f t="shared" si="23"/>
        <v>11</v>
      </c>
      <c r="H81" s="129">
        <f t="shared" si="24"/>
        <v>12</v>
      </c>
      <c r="I81" s="129">
        <f t="shared" si="25"/>
        <v>2</v>
      </c>
      <c r="J81" s="192">
        <f t="shared" si="26"/>
        <v>45363</v>
      </c>
      <c r="K81" s="129" t="str" cm="1">
        <f t="array" ref="K81">IF(AND(I81&lt;7,INDEX(B_tblFTMatrix,$E81,$H81)="x"),"ft","")</f>
        <v/>
      </c>
      <c r="L81" s="129"/>
      <c r="M81" s="129"/>
      <c r="N81" s="129">
        <f t="shared" si="17"/>
        <v>1</v>
      </c>
      <c r="O81" s="129">
        <f t="shared" si="27"/>
        <v>1</v>
      </c>
      <c r="P81" s="231">
        <f t="shared" si="18"/>
        <v>8</v>
      </c>
      <c r="Q81" s="233" cm="1">
        <f t="array" ref="Q81">SUMPRODUCT((H_tblBGTage=I81)*(H_tblBGMnt=E81)*H_tblBG%)</f>
        <v>1</v>
      </c>
      <c r="R81" s="231">
        <f t="shared" si="28"/>
        <v>8</v>
      </c>
      <c r="S81" s="237"/>
      <c r="T81" s="237"/>
      <c r="U81" s="236" cm="1">
        <f t="array" ref="U81">SUMPRODUCT((MRZ!M_Verweiszeile=$H81)*MRZ!M_ProdTag*(MRZ!M_Monat=$E81))</f>
        <v>0</v>
      </c>
      <c r="V81" s="236" cm="1">
        <f t="array" ref="V81">SUMPRODUCT((MRZ!M_Verweiszeile=$H81)*MRZ!M_ProdN1*(MRZ!M_Monat=$E81))</f>
        <v>0</v>
      </c>
      <c r="W81" s="236" cm="1">
        <f t="array" ref="W81">SUMPRODUCT((MRZ!M_Verweiszeile=$H81)*MRZ!M_ProdN2*(MRZ!M_Monat=$E81))</f>
        <v>0</v>
      </c>
      <c r="X81" s="236">
        <f t="shared" si="29"/>
        <v>0</v>
      </c>
      <c r="Y81" s="236">
        <f t="shared" si="19"/>
        <v>0</v>
      </c>
      <c r="Z81" s="236">
        <f t="shared" si="20"/>
        <v>0</v>
      </c>
      <c r="AA81" s="236">
        <f t="shared" si="30"/>
        <v>0</v>
      </c>
      <c r="AB81" s="236">
        <f t="shared" si="31"/>
        <v>0</v>
      </c>
      <c r="AC81" s="236">
        <f t="shared" si="32"/>
        <v>0</v>
      </c>
    </row>
    <row r="82" spans="3:29" x14ac:dyDescent="0.2">
      <c r="C82" s="129">
        <v>73</v>
      </c>
      <c r="D82" s="190">
        <f t="shared" si="33"/>
        <v>45364</v>
      </c>
      <c r="E82" s="129">
        <f t="shared" si="21"/>
        <v>3</v>
      </c>
      <c r="F82" s="191">
        <f t="shared" si="22"/>
        <v>45364</v>
      </c>
      <c r="G82" s="129">
        <f t="shared" si="23"/>
        <v>11</v>
      </c>
      <c r="H82" s="129">
        <f t="shared" si="24"/>
        <v>13</v>
      </c>
      <c r="I82" s="129">
        <f t="shared" si="25"/>
        <v>3</v>
      </c>
      <c r="J82" s="192">
        <f t="shared" si="26"/>
        <v>45364</v>
      </c>
      <c r="K82" s="129" t="str" cm="1">
        <f t="array" ref="K82">IF(AND(I82&lt;7,INDEX(B_tblFTMatrix,$E82,$H82)="x"),"ft","")</f>
        <v/>
      </c>
      <c r="L82" s="129"/>
      <c r="M82" s="129"/>
      <c r="N82" s="129">
        <f t="shared" si="17"/>
        <v>1</v>
      </c>
      <c r="O82" s="129">
        <f t="shared" si="27"/>
        <v>1</v>
      </c>
      <c r="P82" s="231">
        <f t="shared" si="18"/>
        <v>8</v>
      </c>
      <c r="Q82" s="233" cm="1">
        <f t="array" ref="Q82">SUMPRODUCT((H_tblBGTage=I82)*(H_tblBGMnt=E82)*H_tblBG%)</f>
        <v>1</v>
      </c>
      <c r="R82" s="231">
        <f t="shared" si="28"/>
        <v>8</v>
      </c>
      <c r="S82" s="237"/>
      <c r="T82" s="237"/>
      <c r="U82" s="236" cm="1">
        <f t="array" ref="U82">SUMPRODUCT((MRZ!M_Verweiszeile=$H82)*MRZ!M_ProdTag*(MRZ!M_Monat=$E82))</f>
        <v>0</v>
      </c>
      <c r="V82" s="236" cm="1">
        <f t="array" ref="V82">SUMPRODUCT((MRZ!M_Verweiszeile=$H82)*MRZ!M_ProdN1*(MRZ!M_Monat=$E82))</f>
        <v>0</v>
      </c>
      <c r="W82" s="236" cm="1">
        <f t="array" ref="W82">SUMPRODUCT((MRZ!M_Verweiszeile=$H82)*MRZ!M_ProdN2*(MRZ!M_Monat=$E82))</f>
        <v>0</v>
      </c>
      <c r="X82" s="236">
        <f t="shared" si="29"/>
        <v>0</v>
      </c>
      <c r="Y82" s="236">
        <f t="shared" si="19"/>
        <v>0</v>
      </c>
      <c r="Z82" s="236">
        <f t="shared" si="20"/>
        <v>0</v>
      </c>
      <c r="AA82" s="236">
        <f t="shared" si="30"/>
        <v>0</v>
      </c>
      <c r="AB82" s="236">
        <f t="shared" si="31"/>
        <v>0</v>
      </c>
      <c r="AC82" s="236">
        <f t="shared" si="32"/>
        <v>0</v>
      </c>
    </row>
    <row r="83" spans="3:29" x14ac:dyDescent="0.2">
      <c r="C83" s="129">
        <v>74</v>
      </c>
      <c r="D83" s="190">
        <f t="shared" si="33"/>
        <v>45365</v>
      </c>
      <c r="E83" s="129">
        <f t="shared" si="21"/>
        <v>3</v>
      </c>
      <c r="F83" s="191">
        <f t="shared" si="22"/>
        <v>45365</v>
      </c>
      <c r="G83" s="129">
        <f t="shared" si="23"/>
        <v>11</v>
      </c>
      <c r="H83" s="129">
        <f t="shared" si="24"/>
        <v>14</v>
      </c>
      <c r="I83" s="129">
        <f t="shared" si="25"/>
        <v>4</v>
      </c>
      <c r="J83" s="192">
        <f t="shared" si="26"/>
        <v>45365</v>
      </c>
      <c r="K83" s="129" t="str" cm="1">
        <f t="array" ref="K83">IF(AND(I83&lt;7,INDEX(B_tblFTMatrix,$E83,$H83)="x"),"ft","")</f>
        <v/>
      </c>
      <c r="L83" s="129"/>
      <c r="M83" s="129"/>
      <c r="N83" s="129">
        <f t="shared" si="17"/>
        <v>1</v>
      </c>
      <c r="O83" s="129">
        <f t="shared" si="27"/>
        <v>1</v>
      </c>
      <c r="P83" s="231">
        <f t="shared" si="18"/>
        <v>8</v>
      </c>
      <c r="Q83" s="233" cm="1">
        <f t="array" ref="Q83">SUMPRODUCT((H_tblBGTage=I83)*(H_tblBGMnt=E83)*H_tblBG%)</f>
        <v>1</v>
      </c>
      <c r="R83" s="231">
        <f t="shared" si="28"/>
        <v>8</v>
      </c>
      <c r="S83" s="237"/>
      <c r="T83" s="237"/>
      <c r="U83" s="236" cm="1">
        <f t="array" ref="U83">SUMPRODUCT((MRZ!M_Verweiszeile=$H83)*MRZ!M_ProdTag*(MRZ!M_Monat=$E83))</f>
        <v>0</v>
      </c>
      <c r="V83" s="236" cm="1">
        <f t="array" ref="V83">SUMPRODUCT((MRZ!M_Verweiszeile=$H83)*MRZ!M_ProdN1*(MRZ!M_Monat=$E83))</f>
        <v>0</v>
      </c>
      <c r="W83" s="236" cm="1">
        <f t="array" ref="W83">SUMPRODUCT((MRZ!M_Verweiszeile=$H83)*MRZ!M_ProdN2*(MRZ!M_Monat=$E83))</f>
        <v>0</v>
      </c>
      <c r="X83" s="236">
        <f t="shared" si="29"/>
        <v>0</v>
      </c>
      <c r="Y83" s="236">
        <f t="shared" si="19"/>
        <v>0</v>
      </c>
      <c r="Z83" s="236">
        <f t="shared" si="20"/>
        <v>0</v>
      </c>
      <c r="AA83" s="236">
        <f t="shared" si="30"/>
        <v>0</v>
      </c>
      <c r="AB83" s="236">
        <f t="shared" si="31"/>
        <v>0</v>
      </c>
      <c r="AC83" s="236">
        <f t="shared" si="32"/>
        <v>0</v>
      </c>
    </row>
    <row r="84" spans="3:29" x14ac:dyDescent="0.2">
      <c r="C84" s="129">
        <v>75</v>
      </c>
      <c r="D84" s="190">
        <f t="shared" si="33"/>
        <v>45366</v>
      </c>
      <c r="E84" s="129">
        <f t="shared" si="21"/>
        <v>3</v>
      </c>
      <c r="F84" s="191">
        <f t="shared" si="22"/>
        <v>45366</v>
      </c>
      <c r="G84" s="129">
        <f t="shared" si="23"/>
        <v>11</v>
      </c>
      <c r="H84" s="129">
        <f t="shared" si="24"/>
        <v>15</v>
      </c>
      <c r="I84" s="129">
        <f t="shared" si="25"/>
        <v>5</v>
      </c>
      <c r="J84" s="192">
        <f t="shared" si="26"/>
        <v>45366</v>
      </c>
      <c r="K84" s="129" t="str" cm="1">
        <f t="array" ref="K84">IF(AND(I84&lt;7,INDEX(B_tblFTMatrix,$E84,$H84)="x"),"ft","")</f>
        <v/>
      </c>
      <c r="L84" s="129"/>
      <c r="M84" s="129"/>
      <c r="N84" s="129">
        <f t="shared" si="17"/>
        <v>1</v>
      </c>
      <c r="O84" s="129">
        <f t="shared" si="27"/>
        <v>1</v>
      </c>
      <c r="P84" s="231">
        <f t="shared" si="18"/>
        <v>8</v>
      </c>
      <c r="Q84" s="233" cm="1">
        <f t="array" ref="Q84">SUMPRODUCT((H_tblBGTage=I84)*(H_tblBGMnt=E84)*H_tblBG%)</f>
        <v>1</v>
      </c>
      <c r="R84" s="231">
        <f t="shared" si="28"/>
        <v>8</v>
      </c>
      <c r="S84" s="237"/>
      <c r="T84" s="237"/>
      <c r="U84" s="236" cm="1">
        <f t="array" ref="U84">SUMPRODUCT((MRZ!M_Verweiszeile=$H84)*MRZ!M_ProdTag*(MRZ!M_Monat=$E84))</f>
        <v>0</v>
      </c>
      <c r="V84" s="236" cm="1">
        <f t="array" ref="V84">SUMPRODUCT((MRZ!M_Verweiszeile=$H84)*MRZ!M_ProdN1*(MRZ!M_Monat=$E84))</f>
        <v>0</v>
      </c>
      <c r="W84" s="236" cm="1">
        <f t="array" ref="W84">SUMPRODUCT((MRZ!M_Verweiszeile=$H84)*MRZ!M_ProdN2*(MRZ!M_Monat=$E84))</f>
        <v>0</v>
      </c>
      <c r="X84" s="236">
        <f t="shared" si="29"/>
        <v>0</v>
      </c>
      <c r="Y84" s="236">
        <f t="shared" si="19"/>
        <v>0</v>
      </c>
      <c r="Z84" s="236">
        <f t="shared" si="20"/>
        <v>0</v>
      </c>
      <c r="AA84" s="236">
        <f t="shared" si="30"/>
        <v>0</v>
      </c>
      <c r="AB84" s="236">
        <f t="shared" si="31"/>
        <v>0</v>
      </c>
      <c r="AC84" s="236">
        <f t="shared" si="32"/>
        <v>0</v>
      </c>
    </row>
    <row r="85" spans="3:29" x14ac:dyDescent="0.2">
      <c r="C85" s="129">
        <v>76</v>
      </c>
      <c r="D85" s="190">
        <f t="shared" si="33"/>
        <v>45367</v>
      </c>
      <c r="E85" s="129">
        <f t="shared" si="21"/>
        <v>3</v>
      </c>
      <c r="F85" s="191">
        <f t="shared" si="22"/>
        <v>45367</v>
      </c>
      <c r="G85" s="129">
        <f t="shared" si="23"/>
        <v>11</v>
      </c>
      <c r="H85" s="129">
        <f t="shared" si="24"/>
        <v>16</v>
      </c>
      <c r="I85" s="129">
        <f t="shared" si="25"/>
        <v>6</v>
      </c>
      <c r="J85" s="192">
        <f t="shared" si="26"/>
        <v>45367</v>
      </c>
      <c r="K85" s="129" t="str" cm="1">
        <f t="array" ref="K85">IF(AND(I85&lt;7,INDEX(B_tblFTMatrix,$E85,$H85)="x"),"ft","")</f>
        <v/>
      </c>
      <c r="L85" s="129"/>
      <c r="M85" s="129"/>
      <c r="N85" s="129">
        <f t="shared" si="17"/>
        <v>0</v>
      </c>
      <c r="O85" s="129">
        <f t="shared" si="27"/>
        <v>0</v>
      </c>
      <c r="P85" s="231">
        <f t="shared" si="18"/>
        <v>0</v>
      </c>
      <c r="Q85" s="233" cm="1">
        <f t="array" ref="Q85">SUMPRODUCT((H_tblBGTage=I85)*(H_tblBGMnt=E85)*H_tblBG%)</f>
        <v>0</v>
      </c>
      <c r="R85" s="231">
        <f t="shared" si="28"/>
        <v>0</v>
      </c>
      <c r="S85" s="237"/>
      <c r="T85" s="237"/>
      <c r="U85" s="236" cm="1">
        <f t="array" ref="U85">SUMPRODUCT((MRZ!M_Verweiszeile=$H85)*MRZ!M_ProdTag*(MRZ!M_Monat=$E85))</f>
        <v>0</v>
      </c>
      <c r="V85" s="236" cm="1">
        <f t="array" ref="V85">SUMPRODUCT((MRZ!M_Verweiszeile=$H85)*MRZ!M_ProdN1*(MRZ!M_Monat=$E85))</f>
        <v>0</v>
      </c>
      <c r="W85" s="236" cm="1">
        <f t="array" ref="W85">SUMPRODUCT((MRZ!M_Verweiszeile=$H85)*MRZ!M_ProdN2*(MRZ!M_Monat=$E85))</f>
        <v>0</v>
      </c>
      <c r="X85" s="236">
        <f t="shared" si="29"/>
        <v>0</v>
      </c>
      <c r="Y85" s="236">
        <f t="shared" si="19"/>
        <v>0</v>
      </c>
      <c r="Z85" s="236">
        <f t="shared" si="20"/>
        <v>0</v>
      </c>
      <c r="AA85" s="236">
        <f t="shared" si="30"/>
        <v>0</v>
      </c>
      <c r="AB85" s="236">
        <f t="shared" si="31"/>
        <v>0</v>
      </c>
      <c r="AC85" s="236">
        <f t="shared" si="32"/>
        <v>0</v>
      </c>
    </row>
    <row r="86" spans="3:29" x14ac:dyDescent="0.2">
      <c r="C86" s="129">
        <v>77</v>
      </c>
      <c r="D86" s="190">
        <f t="shared" si="33"/>
        <v>45368</v>
      </c>
      <c r="E86" s="129">
        <f t="shared" si="21"/>
        <v>3</v>
      </c>
      <c r="F86" s="191">
        <f t="shared" si="22"/>
        <v>45368</v>
      </c>
      <c r="G86" s="129">
        <f t="shared" si="23"/>
        <v>11</v>
      </c>
      <c r="H86" s="129">
        <f t="shared" si="24"/>
        <v>17</v>
      </c>
      <c r="I86" s="129">
        <f t="shared" si="25"/>
        <v>7</v>
      </c>
      <c r="J86" s="192">
        <f t="shared" si="26"/>
        <v>45368</v>
      </c>
      <c r="K86" s="129" t="str" cm="1">
        <f t="array" ref="K86">IF(AND(I86&lt;7,INDEX(B_tblFTMatrix,$E86,$H86)="x"),"ft","")</f>
        <v/>
      </c>
      <c r="L86" s="129"/>
      <c r="M86" s="129"/>
      <c r="N86" s="129">
        <f t="shared" si="17"/>
        <v>0</v>
      </c>
      <c r="O86" s="129">
        <f t="shared" si="27"/>
        <v>0</v>
      </c>
      <c r="P86" s="231">
        <f t="shared" si="18"/>
        <v>0</v>
      </c>
      <c r="Q86" s="233" cm="1">
        <f t="array" ref="Q86">SUMPRODUCT((H_tblBGTage=I86)*(H_tblBGMnt=E86)*H_tblBG%)</f>
        <v>0</v>
      </c>
      <c r="R86" s="231">
        <f t="shared" si="28"/>
        <v>0</v>
      </c>
      <c r="S86" s="237"/>
      <c r="T86" s="237"/>
      <c r="U86" s="236" cm="1">
        <f t="array" ref="U86">SUMPRODUCT((MRZ!M_Verweiszeile=$H86)*MRZ!M_ProdTag*(MRZ!M_Monat=$E86))</f>
        <v>0</v>
      </c>
      <c r="V86" s="236" cm="1">
        <f t="array" ref="V86">SUMPRODUCT((MRZ!M_Verweiszeile=$H86)*MRZ!M_ProdN1*(MRZ!M_Monat=$E86))</f>
        <v>0</v>
      </c>
      <c r="W86" s="236" cm="1">
        <f t="array" ref="W86">SUMPRODUCT((MRZ!M_Verweiszeile=$H86)*MRZ!M_ProdN2*(MRZ!M_Monat=$E86))</f>
        <v>0</v>
      </c>
      <c r="X86" s="236">
        <f t="shared" si="29"/>
        <v>0</v>
      </c>
      <c r="Y86" s="236">
        <f t="shared" si="19"/>
        <v>0</v>
      </c>
      <c r="Z86" s="236">
        <f t="shared" si="20"/>
        <v>0</v>
      </c>
      <c r="AA86" s="236">
        <f t="shared" si="30"/>
        <v>0</v>
      </c>
      <c r="AB86" s="236">
        <f t="shared" si="31"/>
        <v>0</v>
      </c>
      <c r="AC86" s="236">
        <f t="shared" si="32"/>
        <v>0</v>
      </c>
    </row>
    <row r="87" spans="3:29" x14ac:dyDescent="0.2">
      <c r="C87" s="129">
        <v>78</v>
      </c>
      <c r="D87" s="190">
        <f t="shared" si="33"/>
        <v>45369</v>
      </c>
      <c r="E87" s="129">
        <f t="shared" si="21"/>
        <v>3</v>
      </c>
      <c r="F87" s="191">
        <f t="shared" si="22"/>
        <v>45369</v>
      </c>
      <c r="G87" s="129">
        <f t="shared" si="23"/>
        <v>12</v>
      </c>
      <c r="H87" s="129">
        <f t="shared" si="24"/>
        <v>18</v>
      </c>
      <c r="I87" s="129">
        <f t="shared" si="25"/>
        <v>1</v>
      </c>
      <c r="J87" s="192">
        <f t="shared" si="26"/>
        <v>45369</v>
      </c>
      <c r="K87" s="129" t="str" cm="1">
        <f t="array" ref="K87">IF(AND(I87&lt;7,INDEX(B_tblFTMatrix,$E87,$H87)="x"),"ft","")</f>
        <v/>
      </c>
      <c r="L87" s="129"/>
      <c r="M87" s="129"/>
      <c r="N87" s="129">
        <f t="shared" si="17"/>
        <v>1</v>
      </c>
      <c r="O87" s="129">
        <f t="shared" si="27"/>
        <v>1</v>
      </c>
      <c r="P87" s="231">
        <f t="shared" si="18"/>
        <v>8</v>
      </c>
      <c r="Q87" s="233" cm="1">
        <f t="array" ref="Q87">SUMPRODUCT((H_tblBGTage=I87)*(H_tblBGMnt=E87)*H_tblBG%)</f>
        <v>1</v>
      </c>
      <c r="R87" s="231">
        <f t="shared" si="28"/>
        <v>8</v>
      </c>
      <c r="S87" s="237"/>
      <c r="T87" s="237"/>
      <c r="U87" s="236" cm="1">
        <f t="array" ref="U87">SUMPRODUCT((MRZ!M_Verweiszeile=$H87)*MRZ!M_ProdTag*(MRZ!M_Monat=$E87))</f>
        <v>0</v>
      </c>
      <c r="V87" s="236" cm="1">
        <f t="array" ref="V87">SUMPRODUCT((MRZ!M_Verweiszeile=$H87)*MRZ!M_ProdN1*(MRZ!M_Monat=$E87))</f>
        <v>0</v>
      </c>
      <c r="W87" s="236" cm="1">
        <f t="array" ref="W87">SUMPRODUCT((MRZ!M_Verweiszeile=$H87)*MRZ!M_ProdN2*(MRZ!M_Monat=$E87))</f>
        <v>0</v>
      </c>
      <c r="X87" s="236">
        <f t="shared" si="29"/>
        <v>0</v>
      </c>
      <c r="Y87" s="236">
        <f t="shared" si="19"/>
        <v>0</v>
      </c>
      <c r="Z87" s="236">
        <f t="shared" si="20"/>
        <v>0</v>
      </c>
      <c r="AA87" s="236">
        <f t="shared" si="30"/>
        <v>0</v>
      </c>
      <c r="AB87" s="236">
        <f t="shared" si="31"/>
        <v>0</v>
      </c>
      <c r="AC87" s="236">
        <f t="shared" si="32"/>
        <v>0</v>
      </c>
    </row>
    <row r="88" spans="3:29" x14ac:dyDescent="0.2">
      <c r="C88" s="129">
        <v>79</v>
      </c>
      <c r="D88" s="190">
        <f t="shared" si="33"/>
        <v>45370</v>
      </c>
      <c r="E88" s="129">
        <f t="shared" si="21"/>
        <v>3</v>
      </c>
      <c r="F88" s="191">
        <f t="shared" si="22"/>
        <v>45370</v>
      </c>
      <c r="G88" s="129">
        <f t="shared" si="23"/>
        <v>12</v>
      </c>
      <c r="H88" s="129">
        <f t="shared" si="24"/>
        <v>19</v>
      </c>
      <c r="I88" s="129">
        <f t="shared" si="25"/>
        <v>2</v>
      </c>
      <c r="J88" s="192">
        <f t="shared" si="26"/>
        <v>45370</v>
      </c>
      <c r="K88" s="129" t="str" cm="1">
        <f t="array" ref="K88">IF(AND(I88&lt;7,INDEX(B_tblFTMatrix,$E88,$H88)="x"),"ft","")</f>
        <v/>
      </c>
      <c r="L88" s="129"/>
      <c r="M88" s="129"/>
      <c r="N88" s="129">
        <f t="shared" si="17"/>
        <v>1</v>
      </c>
      <c r="O88" s="129">
        <f t="shared" si="27"/>
        <v>1</v>
      </c>
      <c r="P88" s="231">
        <f t="shared" si="18"/>
        <v>8</v>
      </c>
      <c r="Q88" s="233" cm="1">
        <f t="array" ref="Q88">SUMPRODUCT((H_tblBGTage=I88)*(H_tblBGMnt=E88)*H_tblBG%)</f>
        <v>1</v>
      </c>
      <c r="R88" s="231">
        <f t="shared" si="28"/>
        <v>8</v>
      </c>
      <c r="S88" s="237"/>
      <c r="T88" s="237"/>
      <c r="U88" s="236" cm="1">
        <f t="array" ref="U88">SUMPRODUCT((MRZ!M_Verweiszeile=$H88)*MRZ!M_ProdTag*(MRZ!M_Monat=$E88))</f>
        <v>0</v>
      </c>
      <c r="V88" s="236" cm="1">
        <f t="array" ref="V88">SUMPRODUCT((MRZ!M_Verweiszeile=$H88)*MRZ!M_ProdN1*(MRZ!M_Monat=$E88))</f>
        <v>0</v>
      </c>
      <c r="W88" s="236" cm="1">
        <f t="array" ref="W88">SUMPRODUCT((MRZ!M_Verweiszeile=$H88)*MRZ!M_ProdN2*(MRZ!M_Monat=$E88))</f>
        <v>0</v>
      </c>
      <c r="X88" s="236">
        <f t="shared" si="29"/>
        <v>0</v>
      </c>
      <c r="Y88" s="236">
        <f t="shared" si="19"/>
        <v>0</v>
      </c>
      <c r="Z88" s="236">
        <f t="shared" si="20"/>
        <v>0</v>
      </c>
      <c r="AA88" s="236">
        <f t="shared" si="30"/>
        <v>0</v>
      </c>
      <c r="AB88" s="236">
        <f t="shared" si="31"/>
        <v>0</v>
      </c>
      <c r="AC88" s="236">
        <f t="shared" si="32"/>
        <v>0</v>
      </c>
    </row>
    <row r="89" spans="3:29" x14ac:dyDescent="0.2">
      <c r="C89" s="129">
        <v>80</v>
      </c>
      <c r="D89" s="190">
        <f t="shared" si="33"/>
        <v>45371</v>
      </c>
      <c r="E89" s="129">
        <f t="shared" si="21"/>
        <v>3</v>
      </c>
      <c r="F89" s="191">
        <f t="shared" si="22"/>
        <v>45371</v>
      </c>
      <c r="G89" s="129">
        <f t="shared" si="23"/>
        <v>12</v>
      </c>
      <c r="H89" s="129">
        <f t="shared" si="24"/>
        <v>20</v>
      </c>
      <c r="I89" s="129">
        <f t="shared" si="25"/>
        <v>3</v>
      </c>
      <c r="J89" s="192">
        <f t="shared" si="26"/>
        <v>45371</v>
      </c>
      <c r="K89" s="129" t="str" cm="1">
        <f t="array" ref="K89">IF(AND(I89&lt;7,INDEX(B_tblFTMatrix,$E89,$H89)="x"),"ft","")</f>
        <v/>
      </c>
      <c r="L89" s="129"/>
      <c r="M89" s="129"/>
      <c r="N89" s="129">
        <f t="shared" si="17"/>
        <v>1</v>
      </c>
      <c r="O89" s="129">
        <f t="shared" si="27"/>
        <v>1</v>
      </c>
      <c r="P89" s="231">
        <f t="shared" si="18"/>
        <v>8</v>
      </c>
      <c r="Q89" s="233" cm="1">
        <f t="array" ref="Q89">SUMPRODUCT((H_tblBGTage=I89)*(H_tblBGMnt=E89)*H_tblBG%)</f>
        <v>1</v>
      </c>
      <c r="R89" s="231">
        <f t="shared" si="28"/>
        <v>8</v>
      </c>
      <c r="S89" s="237"/>
      <c r="T89" s="237"/>
      <c r="U89" s="236" cm="1">
        <f t="array" ref="U89">SUMPRODUCT((MRZ!M_Verweiszeile=$H89)*MRZ!M_ProdTag*(MRZ!M_Monat=$E89))</f>
        <v>0</v>
      </c>
      <c r="V89" s="236" cm="1">
        <f t="array" ref="V89">SUMPRODUCT((MRZ!M_Verweiszeile=$H89)*MRZ!M_ProdN1*(MRZ!M_Monat=$E89))</f>
        <v>0</v>
      </c>
      <c r="W89" s="236" cm="1">
        <f t="array" ref="W89">SUMPRODUCT((MRZ!M_Verweiszeile=$H89)*MRZ!M_ProdN2*(MRZ!M_Monat=$E89))</f>
        <v>0</v>
      </c>
      <c r="X89" s="236">
        <f t="shared" si="29"/>
        <v>0</v>
      </c>
      <c r="Y89" s="236">
        <f t="shared" si="19"/>
        <v>0</v>
      </c>
      <c r="Z89" s="236">
        <f t="shared" si="20"/>
        <v>0</v>
      </c>
      <c r="AA89" s="236">
        <f t="shared" si="30"/>
        <v>0</v>
      </c>
      <c r="AB89" s="236">
        <f t="shared" si="31"/>
        <v>0</v>
      </c>
      <c r="AC89" s="236">
        <f t="shared" si="32"/>
        <v>0</v>
      </c>
    </row>
    <row r="90" spans="3:29" x14ac:dyDescent="0.2">
      <c r="C90" s="129">
        <v>81</v>
      </c>
      <c r="D90" s="190">
        <f t="shared" si="33"/>
        <v>45372</v>
      </c>
      <c r="E90" s="129">
        <f t="shared" si="21"/>
        <v>3</v>
      </c>
      <c r="F90" s="191">
        <f t="shared" si="22"/>
        <v>45372</v>
      </c>
      <c r="G90" s="129">
        <f t="shared" si="23"/>
        <v>12</v>
      </c>
      <c r="H90" s="129">
        <f t="shared" si="24"/>
        <v>21</v>
      </c>
      <c r="I90" s="129">
        <f t="shared" si="25"/>
        <v>4</v>
      </c>
      <c r="J90" s="192">
        <f t="shared" si="26"/>
        <v>45372</v>
      </c>
      <c r="K90" s="129" t="str" cm="1">
        <f t="array" ref="K90">IF(AND(I90&lt;7,INDEX(B_tblFTMatrix,$E90,$H90)="x"),"ft","")</f>
        <v/>
      </c>
      <c r="L90" s="129"/>
      <c r="M90" s="129"/>
      <c r="N90" s="129">
        <f t="shared" si="17"/>
        <v>1</v>
      </c>
      <c r="O90" s="129">
        <f t="shared" si="27"/>
        <v>1</v>
      </c>
      <c r="P90" s="231">
        <f t="shared" si="18"/>
        <v>8</v>
      </c>
      <c r="Q90" s="233" cm="1">
        <f t="array" ref="Q90">SUMPRODUCT((H_tblBGTage=I90)*(H_tblBGMnt=E90)*H_tblBG%)</f>
        <v>1</v>
      </c>
      <c r="R90" s="231">
        <f t="shared" si="28"/>
        <v>8</v>
      </c>
      <c r="S90" s="237"/>
      <c r="T90" s="237"/>
      <c r="U90" s="236" cm="1">
        <f t="array" ref="U90">SUMPRODUCT((MRZ!M_Verweiszeile=$H90)*MRZ!M_ProdTag*(MRZ!M_Monat=$E90))</f>
        <v>0</v>
      </c>
      <c r="V90" s="236" cm="1">
        <f t="array" ref="V90">SUMPRODUCT((MRZ!M_Verweiszeile=$H90)*MRZ!M_ProdN1*(MRZ!M_Monat=$E90))</f>
        <v>0</v>
      </c>
      <c r="W90" s="236" cm="1">
        <f t="array" ref="W90">SUMPRODUCT((MRZ!M_Verweiszeile=$H90)*MRZ!M_ProdN2*(MRZ!M_Monat=$E90))</f>
        <v>0</v>
      </c>
      <c r="X90" s="236">
        <f t="shared" si="29"/>
        <v>0</v>
      </c>
      <c r="Y90" s="236">
        <f t="shared" si="19"/>
        <v>0</v>
      </c>
      <c r="Z90" s="236">
        <f t="shared" si="20"/>
        <v>0</v>
      </c>
      <c r="AA90" s="236">
        <f t="shared" si="30"/>
        <v>0</v>
      </c>
      <c r="AB90" s="236">
        <f t="shared" si="31"/>
        <v>0</v>
      </c>
      <c r="AC90" s="236">
        <f t="shared" si="32"/>
        <v>0</v>
      </c>
    </row>
    <row r="91" spans="3:29" x14ac:dyDescent="0.2">
      <c r="C91" s="129">
        <v>82</v>
      </c>
      <c r="D91" s="190">
        <f t="shared" si="33"/>
        <v>45373</v>
      </c>
      <c r="E91" s="129">
        <f t="shared" si="21"/>
        <v>3</v>
      </c>
      <c r="F91" s="191">
        <f t="shared" si="22"/>
        <v>45373</v>
      </c>
      <c r="G91" s="129">
        <f t="shared" si="23"/>
        <v>12</v>
      </c>
      <c r="H91" s="129">
        <f t="shared" si="24"/>
        <v>22</v>
      </c>
      <c r="I91" s="129">
        <f t="shared" si="25"/>
        <v>5</v>
      </c>
      <c r="J91" s="192">
        <f t="shared" si="26"/>
        <v>45373</v>
      </c>
      <c r="K91" s="129" t="str" cm="1">
        <f t="array" ref="K91">IF(AND(I91&lt;7,INDEX(B_tblFTMatrix,$E91,$H91)="x"),"ft","")</f>
        <v/>
      </c>
      <c r="L91" s="129"/>
      <c r="M91" s="129"/>
      <c r="N91" s="129">
        <f t="shared" si="17"/>
        <v>1</v>
      </c>
      <c r="O91" s="129">
        <f t="shared" si="27"/>
        <v>1</v>
      </c>
      <c r="P91" s="231">
        <f t="shared" si="18"/>
        <v>8</v>
      </c>
      <c r="Q91" s="233" cm="1">
        <f t="array" ref="Q91">SUMPRODUCT((H_tblBGTage=I91)*(H_tblBGMnt=E91)*H_tblBG%)</f>
        <v>1</v>
      </c>
      <c r="R91" s="231">
        <f t="shared" si="28"/>
        <v>8</v>
      </c>
      <c r="S91" s="237"/>
      <c r="T91" s="237"/>
      <c r="U91" s="236" cm="1">
        <f t="array" ref="U91">SUMPRODUCT((MRZ!M_Verweiszeile=$H91)*MRZ!M_ProdTag*(MRZ!M_Monat=$E91))</f>
        <v>0</v>
      </c>
      <c r="V91" s="236" cm="1">
        <f t="array" ref="V91">SUMPRODUCT((MRZ!M_Verweiszeile=$H91)*MRZ!M_ProdN1*(MRZ!M_Monat=$E91))</f>
        <v>0</v>
      </c>
      <c r="W91" s="236" cm="1">
        <f t="array" ref="W91">SUMPRODUCT((MRZ!M_Verweiszeile=$H91)*MRZ!M_ProdN2*(MRZ!M_Monat=$E91))</f>
        <v>0</v>
      </c>
      <c r="X91" s="236">
        <f t="shared" si="29"/>
        <v>0</v>
      </c>
      <c r="Y91" s="236">
        <f t="shared" si="19"/>
        <v>0</v>
      </c>
      <c r="Z91" s="236">
        <f t="shared" si="20"/>
        <v>0</v>
      </c>
      <c r="AA91" s="236">
        <f t="shared" si="30"/>
        <v>0</v>
      </c>
      <c r="AB91" s="236">
        <f t="shared" si="31"/>
        <v>0</v>
      </c>
      <c r="AC91" s="236">
        <f t="shared" si="32"/>
        <v>0</v>
      </c>
    </row>
    <row r="92" spans="3:29" x14ac:dyDescent="0.2">
      <c r="C92" s="129">
        <v>83</v>
      </c>
      <c r="D92" s="190">
        <f t="shared" si="33"/>
        <v>45374</v>
      </c>
      <c r="E92" s="129">
        <f t="shared" si="21"/>
        <v>3</v>
      </c>
      <c r="F92" s="191">
        <f t="shared" si="22"/>
        <v>45374</v>
      </c>
      <c r="G92" s="129">
        <f t="shared" si="23"/>
        <v>12</v>
      </c>
      <c r="H92" s="129">
        <f t="shared" si="24"/>
        <v>23</v>
      </c>
      <c r="I92" s="129">
        <f t="shared" si="25"/>
        <v>6</v>
      </c>
      <c r="J92" s="192">
        <f t="shared" si="26"/>
        <v>45374</v>
      </c>
      <c r="K92" s="129" t="str" cm="1">
        <f t="array" ref="K92">IF(AND(I92&lt;7,INDEX(B_tblFTMatrix,$E92,$H92)="x"),"ft","")</f>
        <v/>
      </c>
      <c r="L92" s="129"/>
      <c r="M92" s="129"/>
      <c r="N92" s="129">
        <f t="shared" si="17"/>
        <v>0</v>
      </c>
      <c r="O92" s="129">
        <f t="shared" si="27"/>
        <v>0</v>
      </c>
      <c r="P92" s="231">
        <f t="shared" si="18"/>
        <v>0</v>
      </c>
      <c r="Q92" s="233" cm="1">
        <f t="array" ref="Q92">SUMPRODUCT((H_tblBGTage=I92)*(H_tblBGMnt=E92)*H_tblBG%)</f>
        <v>0</v>
      </c>
      <c r="R92" s="231">
        <f t="shared" si="28"/>
        <v>0</v>
      </c>
      <c r="S92" s="237"/>
      <c r="T92" s="237"/>
      <c r="U92" s="236" cm="1">
        <f t="array" ref="U92">SUMPRODUCT((MRZ!M_Verweiszeile=$H92)*MRZ!M_ProdTag*(MRZ!M_Monat=$E92))</f>
        <v>0</v>
      </c>
      <c r="V92" s="236" cm="1">
        <f t="array" ref="V92">SUMPRODUCT((MRZ!M_Verweiszeile=$H92)*MRZ!M_ProdN1*(MRZ!M_Monat=$E92))</f>
        <v>0</v>
      </c>
      <c r="W92" s="236" cm="1">
        <f t="array" ref="W92">SUMPRODUCT((MRZ!M_Verweiszeile=$H92)*MRZ!M_ProdN2*(MRZ!M_Monat=$E92))</f>
        <v>0</v>
      </c>
      <c r="X92" s="236">
        <f t="shared" si="29"/>
        <v>0</v>
      </c>
      <c r="Y92" s="236">
        <f t="shared" si="19"/>
        <v>0</v>
      </c>
      <c r="Z92" s="236">
        <f t="shared" si="20"/>
        <v>0</v>
      </c>
      <c r="AA92" s="236">
        <f t="shared" si="30"/>
        <v>0</v>
      </c>
      <c r="AB92" s="236">
        <f t="shared" si="31"/>
        <v>0</v>
      </c>
      <c r="AC92" s="236">
        <f t="shared" si="32"/>
        <v>0</v>
      </c>
    </row>
    <row r="93" spans="3:29" x14ac:dyDescent="0.2">
      <c r="C93" s="129">
        <v>84</v>
      </c>
      <c r="D93" s="190">
        <f t="shared" si="33"/>
        <v>45375</v>
      </c>
      <c r="E93" s="129">
        <f t="shared" si="21"/>
        <v>3</v>
      </c>
      <c r="F93" s="191">
        <f t="shared" si="22"/>
        <v>45375</v>
      </c>
      <c r="G93" s="129">
        <f t="shared" si="23"/>
        <v>12</v>
      </c>
      <c r="H93" s="129">
        <f t="shared" si="24"/>
        <v>24</v>
      </c>
      <c r="I93" s="129">
        <f t="shared" si="25"/>
        <v>7</v>
      </c>
      <c r="J93" s="192">
        <f t="shared" si="26"/>
        <v>45375</v>
      </c>
      <c r="K93" s="129" t="str" cm="1">
        <f t="array" ref="K93">IF(AND(I93&lt;7,INDEX(B_tblFTMatrix,$E93,$H93)="x"),"ft","")</f>
        <v/>
      </c>
      <c r="L93" s="129"/>
      <c r="M93" s="129"/>
      <c r="N93" s="129">
        <f t="shared" si="17"/>
        <v>0</v>
      </c>
      <c r="O93" s="129">
        <f t="shared" si="27"/>
        <v>0</v>
      </c>
      <c r="P93" s="231">
        <f t="shared" si="18"/>
        <v>0</v>
      </c>
      <c r="Q93" s="233" cm="1">
        <f t="array" ref="Q93">SUMPRODUCT((H_tblBGTage=I93)*(H_tblBGMnt=E93)*H_tblBG%)</f>
        <v>0</v>
      </c>
      <c r="R93" s="231">
        <f t="shared" si="28"/>
        <v>0</v>
      </c>
      <c r="S93" s="237"/>
      <c r="T93" s="237"/>
      <c r="U93" s="236" cm="1">
        <f t="array" ref="U93">SUMPRODUCT((MRZ!M_Verweiszeile=$H93)*MRZ!M_ProdTag*(MRZ!M_Monat=$E93))</f>
        <v>0</v>
      </c>
      <c r="V93" s="236" cm="1">
        <f t="array" ref="V93">SUMPRODUCT((MRZ!M_Verweiszeile=$H93)*MRZ!M_ProdN1*(MRZ!M_Monat=$E93))</f>
        <v>0</v>
      </c>
      <c r="W93" s="236" cm="1">
        <f t="array" ref="W93">SUMPRODUCT((MRZ!M_Verweiszeile=$H93)*MRZ!M_ProdN2*(MRZ!M_Monat=$E93))</f>
        <v>0</v>
      </c>
      <c r="X93" s="236">
        <f t="shared" si="29"/>
        <v>0</v>
      </c>
      <c r="Y93" s="236">
        <f t="shared" si="19"/>
        <v>0</v>
      </c>
      <c r="Z93" s="236">
        <f t="shared" si="20"/>
        <v>0</v>
      </c>
      <c r="AA93" s="236">
        <f t="shared" si="30"/>
        <v>0</v>
      </c>
      <c r="AB93" s="236">
        <f t="shared" si="31"/>
        <v>0</v>
      </c>
      <c r="AC93" s="236">
        <f t="shared" si="32"/>
        <v>0</v>
      </c>
    </row>
    <row r="94" spans="3:29" x14ac:dyDescent="0.2">
      <c r="C94" s="129">
        <v>85</v>
      </c>
      <c r="D94" s="190">
        <f t="shared" si="33"/>
        <v>45376</v>
      </c>
      <c r="E94" s="129">
        <f t="shared" si="21"/>
        <v>3</v>
      </c>
      <c r="F94" s="191">
        <f t="shared" si="22"/>
        <v>45376</v>
      </c>
      <c r="G94" s="129">
        <f t="shared" si="23"/>
        <v>13</v>
      </c>
      <c r="H94" s="129">
        <f t="shared" si="24"/>
        <v>25</v>
      </c>
      <c r="I94" s="129">
        <f t="shared" si="25"/>
        <v>1</v>
      </c>
      <c r="J94" s="192">
        <f t="shared" si="26"/>
        <v>45376</v>
      </c>
      <c r="K94" s="129" t="str" cm="1">
        <f t="array" ref="K94">IF(AND(I94&lt;7,INDEX(B_tblFTMatrix,$E94,$H94)="x"),"ft","")</f>
        <v/>
      </c>
      <c r="L94" s="129"/>
      <c r="M94" s="129"/>
      <c r="N94" s="129">
        <f t="shared" si="17"/>
        <v>1</v>
      </c>
      <c r="O94" s="129">
        <f t="shared" si="27"/>
        <v>1</v>
      </c>
      <c r="P94" s="231">
        <f t="shared" si="18"/>
        <v>8</v>
      </c>
      <c r="Q94" s="233" cm="1">
        <f t="array" ref="Q94">SUMPRODUCT((H_tblBGTage=I94)*(H_tblBGMnt=E94)*H_tblBG%)</f>
        <v>1</v>
      </c>
      <c r="R94" s="231">
        <f t="shared" si="28"/>
        <v>8</v>
      </c>
      <c r="S94" s="237"/>
      <c r="T94" s="237"/>
      <c r="U94" s="236" cm="1">
        <f t="array" ref="U94">SUMPRODUCT((MRZ!M_Verweiszeile=$H94)*MRZ!M_ProdTag*(MRZ!M_Monat=$E94))</f>
        <v>0</v>
      </c>
      <c r="V94" s="236" cm="1">
        <f t="array" ref="V94">SUMPRODUCT((MRZ!M_Verweiszeile=$H94)*MRZ!M_ProdN1*(MRZ!M_Monat=$E94))</f>
        <v>0</v>
      </c>
      <c r="W94" s="236" cm="1">
        <f t="array" ref="W94">SUMPRODUCT((MRZ!M_Verweiszeile=$H94)*MRZ!M_ProdN2*(MRZ!M_Monat=$E94))</f>
        <v>0</v>
      </c>
      <c r="X94" s="236">
        <f t="shared" si="29"/>
        <v>0</v>
      </c>
      <c r="Y94" s="236">
        <f t="shared" si="19"/>
        <v>0</v>
      </c>
      <c r="Z94" s="236">
        <f t="shared" si="20"/>
        <v>0</v>
      </c>
      <c r="AA94" s="236">
        <f t="shared" si="30"/>
        <v>0</v>
      </c>
      <c r="AB94" s="236">
        <f t="shared" si="31"/>
        <v>0</v>
      </c>
      <c r="AC94" s="236">
        <f t="shared" si="32"/>
        <v>0</v>
      </c>
    </row>
    <row r="95" spans="3:29" x14ac:dyDescent="0.2">
      <c r="C95" s="129">
        <v>86</v>
      </c>
      <c r="D95" s="190">
        <f t="shared" si="33"/>
        <v>45377</v>
      </c>
      <c r="E95" s="129">
        <f t="shared" si="21"/>
        <v>3</v>
      </c>
      <c r="F95" s="191">
        <f t="shared" si="22"/>
        <v>45377</v>
      </c>
      <c r="G95" s="129">
        <f t="shared" si="23"/>
        <v>13</v>
      </c>
      <c r="H95" s="129">
        <f t="shared" si="24"/>
        <v>26</v>
      </c>
      <c r="I95" s="129">
        <f t="shared" si="25"/>
        <v>2</v>
      </c>
      <c r="J95" s="192">
        <f t="shared" si="26"/>
        <v>45377</v>
      </c>
      <c r="K95" s="129" t="str" cm="1">
        <f t="array" ref="K95">IF(AND(I95&lt;7,INDEX(B_tblFTMatrix,$E95,$H95)="x"),"ft","")</f>
        <v/>
      </c>
      <c r="L95" s="129"/>
      <c r="M95" s="129"/>
      <c r="N95" s="129">
        <f t="shared" si="17"/>
        <v>1</v>
      </c>
      <c r="O95" s="129">
        <f t="shared" si="27"/>
        <v>1</v>
      </c>
      <c r="P95" s="231">
        <f t="shared" si="18"/>
        <v>8</v>
      </c>
      <c r="Q95" s="233" cm="1">
        <f t="array" ref="Q95">SUMPRODUCT((H_tblBGTage=I95)*(H_tblBGMnt=E95)*H_tblBG%)</f>
        <v>1</v>
      </c>
      <c r="R95" s="231">
        <f t="shared" si="28"/>
        <v>8</v>
      </c>
      <c r="S95" s="237"/>
      <c r="T95" s="237"/>
      <c r="U95" s="236" cm="1">
        <f t="array" ref="U95">SUMPRODUCT((MRZ!M_Verweiszeile=$H95)*MRZ!M_ProdTag*(MRZ!M_Monat=$E95))</f>
        <v>0</v>
      </c>
      <c r="V95" s="236" cm="1">
        <f t="array" ref="V95">SUMPRODUCT((MRZ!M_Verweiszeile=$H95)*MRZ!M_ProdN1*(MRZ!M_Monat=$E95))</f>
        <v>0</v>
      </c>
      <c r="W95" s="236" cm="1">
        <f t="array" ref="W95">SUMPRODUCT((MRZ!M_Verweiszeile=$H95)*MRZ!M_ProdN2*(MRZ!M_Monat=$E95))</f>
        <v>0</v>
      </c>
      <c r="X95" s="236">
        <f t="shared" si="29"/>
        <v>0</v>
      </c>
      <c r="Y95" s="236">
        <f t="shared" si="19"/>
        <v>0</v>
      </c>
      <c r="Z95" s="236">
        <f t="shared" si="20"/>
        <v>0</v>
      </c>
      <c r="AA95" s="236">
        <f t="shared" si="30"/>
        <v>0</v>
      </c>
      <c r="AB95" s="236">
        <f t="shared" si="31"/>
        <v>0</v>
      </c>
      <c r="AC95" s="236">
        <f t="shared" si="32"/>
        <v>0</v>
      </c>
    </row>
    <row r="96" spans="3:29" x14ac:dyDescent="0.2">
      <c r="C96" s="129">
        <v>87</v>
      </c>
      <c r="D96" s="190">
        <f t="shared" si="33"/>
        <v>45378</v>
      </c>
      <c r="E96" s="129">
        <f t="shared" si="21"/>
        <v>3</v>
      </c>
      <c r="F96" s="191">
        <f t="shared" si="22"/>
        <v>45378</v>
      </c>
      <c r="G96" s="129">
        <f t="shared" si="23"/>
        <v>13</v>
      </c>
      <c r="H96" s="129">
        <f t="shared" si="24"/>
        <v>27</v>
      </c>
      <c r="I96" s="129">
        <f t="shared" si="25"/>
        <v>3</v>
      </c>
      <c r="J96" s="192">
        <f t="shared" si="26"/>
        <v>45378</v>
      </c>
      <c r="K96" s="129" t="str" cm="1">
        <f t="array" ref="K96">IF(AND(I96&lt;7,INDEX(B_tblFTMatrix,$E96,$H96)="x"),"ft","")</f>
        <v/>
      </c>
      <c r="L96" s="129"/>
      <c r="M96" s="129"/>
      <c r="N96" s="129">
        <f t="shared" si="17"/>
        <v>1</v>
      </c>
      <c r="O96" s="129">
        <f t="shared" si="27"/>
        <v>1</v>
      </c>
      <c r="P96" s="231">
        <f t="shared" si="18"/>
        <v>8</v>
      </c>
      <c r="Q96" s="233" cm="1">
        <f t="array" ref="Q96">SUMPRODUCT((H_tblBGTage=I96)*(H_tblBGMnt=E96)*H_tblBG%)</f>
        <v>1</v>
      </c>
      <c r="R96" s="231">
        <f t="shared" si="28"/>
        <v>8</v>
      </c>
      <c r="S96" s="237"/>
      <c r="T96" s="237"/>
      <c r="U96" s="236" cm="1">
        <f t="array" ref="U96">SUMPRODUCT((MRZ!M_Verweiszeile=$H96)*MRZ!M_ProdTag*(MRZ!M_Monat=$E96))</f>
        <v>0</v>
      </c>
      <c r="V96" s="236" cm="1">
        <f t="array" ref="V96">SUMPRODUCT((MRZ!M_Verweiszeile=$H96)*MRZ!M_ProdN1*(MRZ!M_Monat=$E96))</f>
        <v>0</v>
      </c>
      <c r="W96" s="236" cm="1">
        <f t="array" ref="W96">SUMPRODUCT((MRZ!M_Verweiszeile=$H96)*MRZ!M_ProdN2*(MRZ!M_Monat=$E96))</f>
        <v>0</v>
      </c>
      <c r="X96" s="236">
        <f t="shared" si="29"/>
        <v>0</v>
      </c>
      <c r="Y96" s="236">
        <f t="shared" si="19"/>
        <v>0</v>
      </c>
      <c r="Z96" s="236">
        <f t="shared" si="20"/>
        <v>0</v>
      </c>
      <c r="AA96" s="236">
        <f t="shared" si="30"/>
        <v>0</v>
      </c>
      <c r="AB96" s="236">
        <f t="shared" si="31"/>
        <v>0</v>
      </c>
      <c r="AC96" s="236">
        <f t="shared" si="32"/>
        <v>0</v>
      </c>
    </row>
    <row r="97" spans="3:29" x14ac:dyDescent="0.2">
      <c r="C97" s="129">
        <v>88</v>
      </c>
      <c r="D97" s="190">
        <f t="shared" si="33"/>
        <v>45379</v>
      </c>
      <c r="E97" s="129">
        <f t="shared" si="21"/>
        <v>3</v>
      </c>
      <c r="F97" s="191">
        <f t="shared" si="22"/>
        <v>45379</v>
      </c>
      <c r="G97" s="129">
        <f t="shared" si="23"/>
        <v>13</v>
      </c>
      <c r="H97" s="129">
        <f t="shared" si="24"/>
        <v>28</v>
      </c>
      <c r="I97" s="129">
        <f t="shared" si="25"/>
        <v>4</v>
      </c>
      <c r="J97" s="192">
        <f t="shared" si="26"/>
        <v>45379</v>
      </c>
      <c r="K97" s="129" t="str" cm="1">
        <f t="array" ref="K97">IF(AND(I97&lt;7,INDEX(B_tblFTMatrix,$E97,$H97)="x"),"ft","")</f>
        <v/>
      </c>
      <c r="L97" s="129"/>
      <c r="M97" s="129"/>
      <c r="N97" s="129">
        <f t="shared" si="17"/>
        <v>1</v>
      </c>
      <c r="O97" s="129">
        <f t="shared" si="27"/>
        <v>1</v>
      </c>
      <c r="P97" s="231">
        <f t="shared" si="18"/>
        <v>8</v>
      </c>
      <c r="Q97" s="233" cm="1">
        <f t="array" ref="Q97">SUMPRODUCT((H_tblBGTage=I97)*(H_tblBGMnt=E97)*H_tblBG%)</f>
        <v>1</v>
      </c>
      <c r="R97" s="231">
        <f t="shared" si="28"/>
        <v>8</v>
      </c>
      <c r="S97" s="237"/>
      <c r="T97" s="237"/>
      <c r="U97" s="236" cm="1">
        <f t="array" ref="U97">SUMPRODUCT((MRZ!M_Verweiszeile=$H97)*MRZ!M_ProdTag*(MRZ!M_Monat=$E97))</f>
        <v>0</v>
      </c>
      <c r="V97" s="236" cm="1">
        <f t="array" ref="V97">SUMPRODUCT((MRZ!M_Verweiszeile=$H97)*MRZ!M_ProdN1*(MRZ!M_Monat=$E97))</f>
        <v>0</v>
      </c>
      <c r="W97" s="236" cm="1">
        <f t="array" ref="W97">SUMPRODUCT((MRZ!M_Verweiszeile=$H97)*MRZ!M_ProdN2*(MRZ!M_Monat=$E97))</f>
        <v>0</v>
      </c>
      <c r="X97" s="236">
        <f t="shared" si="29"/>
        <v>0</v>
      </c>
      <c r="Y97" s="236">
        <f t="shared" si="19"/>
        <v>0</v>
      </c>
      <c r="Z97" s="236">
        <f t="shared" si="20"/>
        <v>0</v>
      </c>
      <c r="AA97" s="236">
        <f t="shared" si="30"/>
        <v>0</v>
      </c>
      <c r="AB97" s="236">
        <f t="shared" si="31"/>
        <v>0</v>
      </c>
      <c r="AC97" s="236">
        <f t="shared" si="32"/>
        <v>0</v>
      </c>
    </row>
    <row r="98" spans="3:29" x14ac:dyDescent="0.2">
      <c r="C98" s="129">
        <v>89</v>
      </c>
      <c r="D98" s="190">
        <f t="shared" si="33"/>
        <v>45380</v>
      </c>
      <c r="E98" s="129">
        <f t="shared" si="21"/>
        <v>3</v>
      </c>
      <c r="F98" s="191">
        <f t="shared" si="22"/>
        <v>45380</v>
      </c>
      <c r="G98" s="129">
        <f t="shared" si="23"/>
        <v>13</v>
      </c>
      <c r="H98" s="129">
        <f t="shared" si="24"/>
        <v>29</v>
      </c>
      <c r="I98" s="129">
        <f t="shared" si="25"/>
        <v>5</v>
      </c>
      <c r="J98" s="192">
        <f t="shared" si="26"/>
        <v>45380</v>
      </c>
      <c r="K98" s="129" t="str" cm="1">
        <f t="array" ref="K98">IF(AND(I98&lt;7,INDEX(B_tblFTMatrix,$E98,$H98)="x"),"ft","")</f>
        <v/>
      </c>
      <c r="L98" s="129"/>
      <c r="M98" s="129"/>
      <c r="N98" s="129">
        <f t="shared" si="17"/>
        <v>1</v>
      </c>
      <c r="O98" s="129">
        <f t="shared" si="27"/>
        <v>1</v>
      </c>
      <c r="P98" s="231">
        <f t="shared" si="18"/>
        <v>8</v>
      </c>
      <c r="Q98" s="233" cm="1">
        <f t="array" ref="Q98">SUMPRODUCT((H_tblBGTage=I98)*(H_tblBGMnt=E98)*H_tblBG%)</f>
        <v>1</v>
      </c>
      <c r="R98" s="231">
        <f t="shared" si="28"/>
        <v>8</v>
      </c>
      <c r="S98" s="237"/>
      <c r="T98" s="237"/>
      <c r="U98" s="236" cm="1">
        <f t="array" ref="U98">SUMPRODUCT((MRZ!M_Verweiszeile=$H98)*MRZ!M_ProdTag*(MRZ!M_Monat=$E98))</f>
        <v>0</v>
      </c>
      <c r="V98" s="236" cm="1">
        <f t="array" ref="V98">SUMPRODUCT((MRZ!M_Verweiszeile=$H98)*MRZ!M_ProdN1*(MRZ!M_Monat=$E98))</f>
        <v>0</v>
      </c>
      <c r="W98" s="236" cm="1">
        <f t="array" ref="W98">SUMPRODUCT((MRZ!M_Verweiszeile=$H98)*MRZ!M_ProdN2*(MRZ!M_Monat=$E98))</f>
        <v>0</v>
      </c>
      <c r="X98" s="236">
        <f t="shared" si="29"/>
        <v>0</v>
      </c>
      <c r="Y98" s="236">
        <f t="shared" si="19"/>
        <v>0</v>
      </c>
      <c r="Z98" s="236">
        <f t="shared" si="20"/>
        <v>0</v>
      </c>
      <c r="AA98" s="236">
        <f t="shared" si="30"/>
        <v>0</v>
      </c>
      <c r="AB98" s="236">
        <f t="shared" si="31"/>
        <v>0</v>
      </c>
      <c r="AC98" s="236">
        <f t="shared" si="32"/>
        <v>0</v>
      </c>
    </row>
    <row r="99" spans="3:29" x14ac:dyDescent="0.2">
      <c r="C99" s="129">
        <v>90</v>
      </c>
      <c r="D99" s="190">
        <f t="shared" si="33"/>
        <v>45381</v>
      </c>
      <c r="E99" s="129">
        <f t="shared" si="21"/>
        <v>3</v>
      </c>
      <c r="F99" s="191">
        <f t="shared" si="22"/>
        <v>45381</v>
      </c>
      <c r="G99" s="129">
        <f t="shared" si="23"/>
        <v>13</v>
      </c>
      <c r="H99" s="129">
        <f t="shared" si="24"/>
        <v>30</v>
      </c>
      <c r="I99" s="129">
        <f t="shared" si="25"/>
        <v>6</v>
      </c>
      <c r="J99" s="192">
        <f t="shared" si="26"/>
        <v>45381</v>
      </c>
      <c r="K99" s="129" t="str" cm="1">
        <f t="array" ref="K99">IF(AND(I99&lt;7,INDEX(B_tblFTMatrix,$E99,$H99)="x"),"ft","")</f>
        <v/>
      </c>
      <c r="L99" s="129"/>
      <c r="M99" s="129"/>
      <c r="N99" s="129">
        <f t="shared" si="17"/>
        <v>0</v>
      </c>
      <c r="O99" s="129">
        <f t="shared" si="27"/>
        <v>0</v>
      </c>
      <c r="P99" s="231">
        <f t="shared" si="18"/>
        <v>0</v>
      </c>
      <c r="Q99" s="233" cm="1">
        <f t="array" ref="Q99">SUMPRODUCT((H_tblBGTage=I99)*(H_tblBGMnt=E99)*H_tblBG%)</f>
        <v>0</v>
      </c>
      <c r="R99" s="231">
        <f t="shared" si="28"/>
        <v>0</v>
      </c>
      <c r="S99" s="237"/>
      <c r="T99" s="237"/>
      <c r="U99" s="236" cm="1">
        <f t="array" ref="U99">SUMPRODUCT((MRZ!M_Verweiszeile=$H99)*MRZ!M_ProdTag*(MRZ!M_Monat=$E99))</f>
        <v>0</v>
      </c>
      <c r="V99" s="236" cm="1">
        <f t="array" ref="V99">SUMPRODUCT((MRZ!M_Verweiszeile=$H99)*MRZ!M_ProdN1*(MRZ!M_Monat=$E99))</f>
        <v>0</v>
      </c>
      <c r="W99" s="236" cm="1">
        <f t="array" ref="W99">SUMPRODUCT((MRZ!M_Verweiszeile=$H99)*MRZ!M_ProdN2*(MRZ!M_Monat=$E99))</f>
        <v>0</v>
      </c>
      <c r="X99" s="236">
        <f t="shared" si="29"/>
        <v>0</v>
      </c>
      <c r="Y99" s="236">
        <f t="shared" si="19"/>
        <v>0</v>
      </c>
      <c r="Z99" s="236">
        <f t="shared" si="20"/>
        <v>0</v>
      </c>
      <c r="AA99" s="236">
        <f t="shared" si="30"/>
        <v>0</v>
      </c>
      <c r="AB99" s="236">
        <f t="shared" si="31"/>
        <v>0</v>
      </c>
      <c r="AC99" s="236">
        <f t="shared" si="32"/>
        <v>0</v>
      </c>
    </row>
    <row r="100" spans="3:29" x14ac:dyDescent="0.2">
      <c r="C100" s="129">
        <v>91</v>
      </c>
      <c r="D100" s="190">
        <f t="shared" si="33"/>
        <v>45382</v>
      </c>
      <c r="E100" s="129">
        <f t="shared" si="21"/>
        <v>3</v>
      </c>
      <c r="F100" s="191">
        <f t="shared" si="22"/>
        <v>45382</v>
      </c>
      <c r="G100" s="129">
        <f t="shared" si="23"/>
        <v>13</v>
      </c>
      <c r="H100" s="129">
        <f t="shared" si="24"/>
        <v>31</v>
      </c>
      <c r="I100" s="129">
        <f t="shared" si="25"/>
        <v>7</v>
      </c>
      <c r="J100" s="192">
        <f t="shared" si="26"/>
        <v>45382</v>
      </c>
      <c r="K100" s="129" t="str" cm="1">
        <f t="array" ref="K100">IF(AND(I100&lt;7,INDEX(B_tblFTMatrix,$E100,$H100)="x"),"ft","")</f>
        <v/>
      </c>
      <c r="L100" s="129"/>
      <c r="M100" s="129"/>
      <c r="N100" s="129">
        <f t="shared" si="17"/>
        <v>0</v>
      </c>
      <c r="O100" s="129">
        <f t="shared" si="27"/>
        <v>0</v>
      </c>
      <c r="P100" s="231">
        <f t="shared" si="18"/>
        <v>0</v>
      </c>
      <c r="Q100" s="233" cm="1">
        <f t="array" ref="Q100">SUMPRODUCT((H_tblBGTage=I100)*(H_tblBGMnt=E100)*H_tblBG%)</f>
        <v>0</v>
      </c>
      <c r="R100" s="231">
        <f t="shared" si="28"/>
        <v>0</v>
      </c>
      <c r="S100" s="237"/>
      <c r="T100" s="237"/>
      <c r="U100" s="319" cm="1">
        <f t="array" ref="U100">SUMPRODUCT((MRZ!M_Verweiszeile=$H100)*MRZ!M_ProdTag*(MRZ!M_Monat=$E100))+SUMPRODUCT((APR!M_Verweiszeile=$H100)*APR!M_ProdTag*(APR!M_Monat=$E100))</f>
        <v>0</v>
      </c>
      <c r="V100" s="236" cm="1">
        <f t="array" ref="V100">SUMPRODUCT((MRZ!M_Verweiszeile=$H100)*MRZ!M_ProdN1*(MRZ!M_Monat=$E100))+SUMPRODUCT((APR!M_Verweiszeile=$H100)*APR!M_ProdN1*(APR!M_Monat=$E100))</f>
        <v>0</v>
      </c>
      <c r="W100" s="236" cm="1">
        <f t="array" ref="W100">SUMPRODUCT((MRZ!M_Verweiszeile=$H100)*MRZ!M_ProdN2*(MRZ!M_Monat=$E100))+SUMPRODUCT((APR!M_Verweiszeile=$H100)*APR!M_ProdN2*(APR!M_Monat=$E100))</f>
        <v>0</v>
      </c>
      <c r="X100" s="236">
        <f t="shared" si="29"/>
        <v>0</v>
      </c>
      <c r="Y100" s="236">
        <f t="shared" si="19"/>
        <v>0</v>
      </c>
      <c r="Z100" s="236">
        <f t="shared" si="20"/>
        <v>0</v>
      </c>
      <c r="AA100" s="236">
        <f t="shared" si="30"/>
        <v>0</v>
      </c>
      <c r="AB100" s="236">
        <f t="shared" si="31"/>
        <v>0</v>
      </c>
      <c r="AC100" s="236">
        <f t="shared" si="32"/>
        <v>0</v>
      </c>
    </row>
    <row r="101" spans="3:29" x14ac:dyDescent="0.2">
      <c r="C101" s="129">
        <v>92</v>
      </c>
      <c r="D101" s="190">
        <f t="shared" si="33"/>
        <v>45383</v>
      </c>
      <c r="E101" s="129">
        <f t="shared" si="21"/>
        <v>4</v>
      </c>
      <c r="F101" s="191">
        <f t="shared" si="22"/>
        <v>45383</v>
      </c>
      <c r="G101" s="129">
        <f t="shared" si="23"/>
        <v>14</v>
      </c>
      <c r="H101" s="129">
        <f t="shared" si="24"/>
        <v>1</v>
      </c>
      <c r="I101" s="129">
        <f t="shared" si="25"/>
        <v>1</v>
      </c>
      <c r="J101" s="192">
        <f t="shared" si="26"/>
        <v>45383</v>
      </c>
      <c r="K101" s="129" t="str" cm="1">
        <f t="array" ref="K101">IF(AND(I101&lt;7,INDEX(B_tblFTMatrix,$E101,$H101)="x"),"ft","")</f>
        <v/>
      </c>
      <c r="L101" s="129"/>
      <c r="M101" s="129"/>
      <c r="N101" s="129">
        <f t="shared" si="17"/>
        <v>1</v>
      </c>
      <c r="O101" s="129">
        <f t="shared" si="27"/>
        <v>1</v>
      </c>
      <c r="P101" s="231">
        <f t="shared" si="18"/>
        <v>8</v>
      </c>
      <c r="Q101" s="233" cm="1">
        <f t="array" ref="Q101">SUMPRODUCT((H_tblBGTage=I101)*(H_tblBGMnt=E101)*H_tblBG%)</f>
        <v>1</v>
      </c>
      <c r="R101" s="231">
        <f t="shared" si="28"/>
        <v>8</v>
      </c>
      <c r="S101" s="237"/>
      <c r="T101" s="237"/>
      <c r="U101" s="319" cm="1">
        <f t="array" ref="U101">SUMPRODUCT((APR!M_Verweiszeile=$H101)*APR!M_ProdTag*(APR!M_Monat=$E101))</f>
        <v>0</v>
      </c>
      <c r="V101" s="236" cm="1">
        <f t="array" ref="V101">SUMPRODUCT((APR!M_Verweiszeile=$H101)*APR!M_ProdN1*(APR!M_Monat=$E101))</f>
        <v>0</v>
      </c>
      <c r="W101" s="236" cm="1">
        <f t="array" ref="W101">SUMPRODUCT((APR!M_Verweiszeile=$H101)*APR!M_ProdN2*(APR!M_Monat=$E101))</f>
        <v>0</v>
      </c>
      <c r="X101" s="236">
        <f t="shared" si="29"/>
        <v>0</v>
      </c>
      <c r="Y101" s="236">
        <f t="shared" si="19"/>
        <v>0</v>
      </c>
      <c r="Z101" s="236">
        <f t="shared" si="20"/>
        <v>0</v>
      </c>
      <c r="AA101" s="236">
        <f t="shared" si="30"/>
        <v>0</v>
      </c>
      <c r="AB101" s="236">
        <f t="shared" si="31"/>
        <v>0</v>
      </c>
      <c r="AC101" s="236">
        <f t="shared" si="32"/>
        <v>0</v>
      </c>
    </row>
    <row r="102" spans="3:29" x14ac:dyDescent="0.2">
      <c r="C102" s="129">
        <v>93</v>
      </c>
      <c r="D102" s="190">
        <f t="shared" si="33"/>
        <v>45384</v>
      </c>
      <c r="E102" s="129">
        <f t="shared" si="21"/>
        <v>4</v>
      </c>
      <c r="F102" s="191">
        <f t="shared" si="22"/>
        <v>45384</v>
      </c>
      <c r="G102" s="129">
        <f t="shared" si="23"/>
        <v>14</v>
      </c>
      <c r="H102" s="129">
        <f t="shared" si="24"/>
        <v>2</v>
      </c>
      <c r="I102" s="129">
        <f t="shared" si="25"/>
        <v>2</v>
      </c>
      <c r="J102" s="192">
        <f t="shared" si="26"/>
        <v>45384</v>
      </c>
      <c r="K102" s="129" t="str" cm="1">
        <f t="array" ref="K102">IF(AND(I102&lt;7,INDEX(B_tblFTMatrix,$E102,$H102)="x"),"ft","")</f>
        <v/>
      </c>
      <c r="L102" s="129"/>
      <c r="M102" s="129"/>
      <c r="N102" s="129">
        <f t="shared" si="17"/>
        <v>1</v>
      </c>
      <c r="O102" s="129">
        <f t="shared" si="27"/>
        <v>1</v>
      </c>
      <c r="P102" s="231">
        <f t="shared" si="18"/>
        <v>8</v>
      </c>
      <c r="Q102" s="233" cm="1">
        <f t="array" ref="Q102">SUMPRODUCT((H_tblBGTage=I102)*(H_tblBGMnt=E102)*H_tblBG%)</f>
        <v>1</v>
      </c>
      <c r="R102" s="231">
        <f t="shared" si="28"/>
        <v>8</v>
      </c>
      <c r="S102" s="237"/>
      <c r="T102" s="237"/>
      <c r="U102" s="236" cm="1">
        <f t="array" ref="U102">SUMPRODUCT((APR!M_Verweiszeile=$H102)*APR!M_ProdTag*(APR!M_Monat=$E102))</f>
        <v>0</v>
      </c>
      <c r="V102" s="236" cm="1">
        <f t="array" ref="V102">SUMPRODUCT((APR!M_Verweiszeile=$H102)*APR!M_ProdN1*(APR!M_Monat=$E102))</f>
        <v>0</v>
      </c>
      <c r="W102" s="236" cm="1">
        <f t="array" ref="W102">SUMPRODUCT((APR!M_Verweiszeile=$H102)*APR!M_ProdN2*(APR!M_Monat=$E102))</f>
        <v>0</v>
      </c>
      <c r="X102" s="236">
        <f t="shared" si="29"/>
        <v>0</v>
      </c>
      <c r="Y102" s="236">
        <f t="shared" si="19"/>
        <v>0</v>
      </c>
      <c r="Z102" s="236">
        <f t="shared" si="20"/>
        <v>0</v>
      </c>
      <c r="AA102" s="236">
        <f t="shared" si="30"/>
        <v>0</v>
      </c>
      <c r="AB102" s="236">
        <f t="shared" si="31"/>
        <v>0</v>
      </c>
      <c r="AC102" s="236">
        <f t="shared" si="32"/>
        <v>0</v>
      </c>
    </row>
    <row r="103" spans="3:29" x14ac:dyDescent="0.2">
      <c r="C103" s="129">
        <v>94</v>
      </c>
      <c r="D103" s="190">
        <f t="shared" si="33"/>
        <v>45385</v>
      </c>
      <c r="E103" s="129">
        <f t="shared" si="21"/>
        <v>4</v>
      </c>
      <c r="F103" s="191">
        <f t="shared" si="22"/>
        <v>45385</v>
      </c>
      <c r="G103" s="129">
        <f t="shared" si="23"/>
        <v>14</v>
      </c>
      <c r="H103" s="129">
        <f t="shared" si="24"/>
        <v>3</v>
      </c>
      <c r="I103" s="129">
        <f t="shared" si="25"/>
        <v>3</v>
      </c>
      <c r="J103" s="192">
        <f t="shared" si="26"/>
        <v>45385</v>
      </c>
      <c r="K103" s="129" t="str" cm="1">
        <f t="array" ref="K103">IF(AND(I103&lt;7,INDEX(B_tblFTMatrix,$E103,$H103)="x"),"ft","")</f>
        <v/>
      </c>
      <c r="L103" s="129"/>
      <c r="M103" s="129"/>
      <c r="N103" s="129">
        <f t="shared" si="17"/>
        <v>1</v>
      </c>
      <c r="O103" s="129">
        <f t="shared" si="27"/>
        <v>1</v>
      </c>
      <c r="P103" s="231">
        <f t="shared" si="18"/>
        <v>8</v>
      </c>
      <c r="Q103" s="233" cm="1">
        <f t="array" ref="Q103">SUMPRODUCT((H_tblBGTage=I103)*(H_tblBGMnt=E103)*H_tblBG%)</f>
        <v>1</v>
      </c>
      <c r="R103" s="231">
        <f t="shared" si="28"/>
        <v>8</v>
      </c>
      <c r="S103" s="237"/>
      <c r="T103" s="237"/>
      <c r="U103" s="236" cm="1">
        <f t="array" ref="U103">SUMPRODUCT((APR!M_Verweiszeile=$H103)*APR!M_ProdTag*(APR!M_Monat=$E103))</f>
        <v>0</v>
      </c>
      <c r="V103" s="236" cm="1">
        <f t="array" ref="V103">SUMPRODUCT((APR!M_Verweiszeile=$H103)*APR!M_ProdN1*(APR!M_Monat=$E103))</f>
        <v>0</v>
      </c>
      <c r="W103" s="236" cm="1">
        <f t="array" ref="W103">SUMPRODUCT((APR!M_Verweiszeile=$H103)*APR!M_ProdN2*(APR!M_Monat=$E103))</f>
        <v>0</v>
      </c>
      <c r="X103" s="236">
        <f t="shared" si="29"/>
        <v>0</v>
      </c>
      <c r="Y103" s="236">
        <f t="shared" si="19"/>
        <v>0</v>
      </c>
      <c r="Z103" s="236">
        <f t="shared" si="20"/>
        <v>0</v>
      </c>
      <c r="AA103" s="236">
        <f t="shared" si="30"/>
        <v>0</v>
      </c>
      <c r="AB103" s="236">
        <f t="shared" si="31"/>
        <v>0</v>
      </c>
      <c r="AC103" s="236">
        <f t="shared" si="32"/>
        <v>0</v>
      </c>
    </row>
    <row r="104" spans="3:29" x14ac:dyDescent="0.2">
      <c r="C104" s="129">
        <v>95</v>
      </c>
      <c r="D104" s="190">
        <f t="shared" si="33"/>
        <v>45386</v>
      </c>
      <c r="E104" s="129">
        <f t="shared" si="21"/>
        <v>4</v>
      </c>
      <c r="F104" s="191">
        <f t="shared" si="22"/>
        <v>45386</v>
      </c>
      <c r="G104" s="129">
        <f t="shared" si="23"/>
        <v>14</v>
      </c>
      <c r="H104" s="129">
        <f t="shared" si="24"/>
        <v>4</v>
      </c>
      <c r="I104" s="129">
        <f t="shared" si="25"/>
        <v>4</v>
      </c>
      <c r="J104" s="192">
        <f t="shared" si="26"/>
        <v>45386</v>
      </c>
      <c r="K104" s="129" t="str" cm="1">
        <f t="array" ref="K104">IF(AND(I104&lt;7,INDEX(B_tblFTMatrix,$E104,$H104)="x"),"ft","")</f>
        <v/>
      </c>
      <c r="L104" s="129"/>
      <c r="M104" s="129"/>
      <c r="N104" s="129">
        <f t="shared" si="17"/>
        <v>1</v>
      </c>
      <c r="O104" s="129">
        <f t="shared" si="27"/>
        <v>1</v>
      </c>
      <c r="P104" s="231">
        <f t="shared" si="18"/>
        <v>8</v>
      </c>
      <c r="Q104" s="233" cm="1">
        <f t="array" ref="Q104">SUMPRODUCT((H_tblBGTage=I104)*(H_tblBGMnt=E104)*H_tblBG%)</f>
        <v>1</v>
      </c>
      <c r="R104" s="231">
        <f t="shared" si="28"/>
        <v>8</v>
      </c>
      <c r="S104" s="237"/>
      <c r="T104" s="237"/>
      <c r="U104" s="236" cm="1">
        <f t="array" ref="U104">SUMPRODUCT((APR!M_Verweiszeile=$H104)*APR!M_ProdTag*(APR!M_Monat=$E104))</f>
        <v>0</v>
      </c>
      <c r="V104" s="236" cm="1">
        <f t="array" ref="V104">SUMPRODUCT((APR!M_Verweiszeile=$H104)*APR!M_ProdN1*(APR!M_Monat=$E104))</f>
        <v>0</v>
      </c>
      <c r="W104" s="236" cm="1">
        <f t="array" ref="W104">SUMPRODUCT((APR!M_Verweiszeile=$H104)*APR!M_ProdN2*(APR!M_Monat=$E104))</f>
        <v>0</v>
      </c>
      <c r="X104" s="236">
        <f t="shared" si="29"/>
        <v>0</v>
      </c>
      <c r="Y104" s="236">
        <f t="shared" si="19"/>
        <v>0</v>
      </c>
      <c r="Z104" s="236">
        <f t="shared" si="20"/>
        <v>0</v>
      </c>
      <c r="AA104" s="236">
        <f t="shared" si="30"/>
        <v>0</v>
      </c>
      <c r="AB104" s="236">
        <f t="shared" si="31"/>
        <v>0</v>
      </c>
      <c r="AC104" s="236">
        <f t="shared" si="32"/>
        <v>0</v>
      </c>
    </row>
    <row r="105" spans="3:29" x14ac:dyDescent="0.2">
      <c r="C105" s="129">
        <v>96</v>
      </c>
      <c r="D105" s="190">
        <f t="shared" si="33"/>
        <v>45387</v>
      </c>
      <c r="E105" s="129">
        <f t="shared" si="21"/>
        <v>4</v>
      </c>
      <c r="F105" s="191">
        <f t="shared" si="22"/>
        <v>45387</v>
      </c>
      <c r="G105" s="129">
        <f t="shared" si="23"/>
        <v>14</v>
      </c>
      <c r="H105" s="129">
        <f t="shared" si="24"/>
        <v>5</v>
      </c>
      <c r="I105" s="129">
        <f t="shared" si="25"/>
        <v>5</v>
      </c>
      <c r="J105" s="192">
        <f t="shared" si="26"/>
        <v>45387</v>
      </c>
      <c r="K105" s="129" t="str" cm="1">
        <f t="array" ref="K105">IF(AND(I105&lt;7,INDEX(B_tblFTMatrix,$E105,$H105)="x"),"ft","")</f>
        <v/>
      </c>
      <c r="L105" s="129"/>
      <c r="M105" s="129"/>
      <c r="N105" s="129">
        <f t="shared" si="17"/>
        <v>1</v>
      </c>
      <c r="O105" s="129">
        <f t="shared" si="27"/>
        <v>1</v>
      </c>
      <c r="P105" s="231">
        <f t="shared" si="18"/>
        <v>8</v>
      </c>
      <c r="Q105" s="233" cm="1">
        <f t="array" ref="Q105">SUMPRODUCT((H_tblBGTage=I105)*(H_tblBGMnt=E105)*H_tblBG%)</f>
        <v>1</v>
      </c>
      <c r="R105" s="231">
        <f t="shared" si="28"/>
        <v>8</v>
      </c>
      <c r="S105" s="237"/>
      <c r="T105" s="237"/>
      <c r="U105" s="236" cm="1">
        <f t="array" ref="U105">SUMPRODUCT((APR!M_Verweiszeile=$H105)*APR!M_ProdTag*(APR!M_Monat=$E105))</f>
        <v>0</v>
      </c>
      <c r="V105" s="236" cm="1">
        <f t="array" ref="V105">SUMPRODUCT((APR!M_Verweiszeile=$H105)*APR!M_ProdN1*(APR!M_Monat=$E105))</f>
        <v>0</v>
      </c>
      <c r="W105" s="236" cm="1">
        <f t="array" ref="W105">SUMPRODUCT((APR!M_Verweiszeile=$H105)*APR!M_ProdN2*(APR!M_Monat=$E105))</f>
        <v>0</v>
      </c>
      <c r="X105" s="236">
        <f t="shared" si="29"/>
        <v>0</v>
      </c>
      <c r="Y105" s="236">
        <f t="shared" si="19"/>
        <v>0</v>
      </c>
      <c r="Z105" s="236">
        <f t="shared" si="20"/>
        <v>0</v>
      </c>
      <c r="AA105" s="236">
        <f t="shared" si="30"/>
        <v>0</v>
      </c>
      <c r="AB105" s="236">
        <f t="shared" si="31"/>
        <v>0</v>
      </c>
      <c r="AC105" s="236">
        <f t="shared" si="32"/>
        <v>0</v>
      </c>
    </row>
    <row r="106" spans="3:29" x14ac:dyDescent="0.2">
      <c r="C106" s="129">
        <v>97</v>
      </c>
      <c r="D106" s="190">
        <f t="shared" si="33"/>
        <v>45388</v>
      </c>
      <c r="E106" s="129">
        <f t="shared" si="21"/>
        <v>4</v>
      </c>
      <c r="F106" s="191">
        <f t="shared" si="22"/>
        <v>45388</v>
      </c>
      <c r="G106" s="129">
        <f t="shared" si="23"/>
        <v>14</v>
      </c>
      <c r="H106" s="129">
        <f t="shared" si="24"/>
        <v>6</v>
      </c>
      <c r="I106" s="129">
        <f t="shared" si="25"/>
        <v>6</v>
      </c>
      <c r="J106" s="192">
        <f t="shared" si="26"/>
        <v>45388</v>
      </c>
      <c r="K106" s="129" t="str" cm="1">
        <f t="array" ref="K106">IF(AND(I106&lt;7,INDEX(B_tblFTMatrix,$E106,$H106)="x"),"ft","")</f>
        <v/>
      </c>
      <c r="L106" s="129"/>
      <c r="M106" s="129"/>
      <c r="N106" s="129">
        <f t="shared" si="17"/>
        <v>0</v>
      </c>
      <c r="O106" s="129">
        <f t="shared" si="27"/>
        <v>0</v>
      </c>
      <c r="P106" s="231">
        <f t="shared" si="18"/>
        <v>0</v>
      </c>
      <c r="Q106" s="233" cm="1">
        <f t="array" ref="Q106">SUMPRODUCT((H_tblBGTage=I106)*(H_tblBGMnt=E106)*H_tblBG%)</f>
        <v>0</v>
      </c>
      <c r="R106" s="231">
        <f t="shared" si="28"/>
        <v>0</v>
      </c>
      <c r="S106" s="237"/>
      <c r="T106" s="237"/>
      <c r="U106" s="236" cm="1">
        <f t="array" ref="U106">SUMPRODUCT((APR!M_Verweiszeile=$H106)*APR!M_ProdTag*(APR!M_Monat=$E106))</f>
        <v>0</v>
      </c>
      <c r="V106" s="236" cm="1">
        <f t="array" ref="V106">SUMPRODUCT((APR!M_Verweiszeile=$H106)*APR!M_ProdN1*(APR!M_Monat=$E106))</f>
        <v>0</v>
      </c>
      <c r="W106" s="236" cm="1">
        <f t="array" ref="W106">SUMPRODUCT((APR!M_Verweiszeile=$H106)*APR!M_ProdN2*(APR!M_Monat=$E106))</f>
        <v>0</v>
      </c>
      <c r="X106" s="236">
        <f t="shared" si="29"/>
        <v>0</v>
      </c>
      <c r="Y106" s="236">
        <f t="shared" si="19"/>
        <v>0</v>
      </c>
      <c r="Z106" s="236">
        <f t="shared" si="20"/>
        <v>0</v>
      </c>
      <c r="AA106" s="236">
        <f t="shared" si="30"/>
        <v>0</v>
      </c>
      <c r="AB106" s="236">
        <f t="shared" si="31"/>
        <v>0</v>
      </c>
      <c r="AC106" s="236">
        <f t="shared" si="32"/>
        <v>0</v>
      </c>
    </row>
    <row r="107" spans="3:29" x14ac:dyDescent="0.2">
      <c r="C107" s="129">
        <v>98</v>
      </c>
      <c r="D107" s="190">
        <f t="shared" si="33"/>
        <v>45389</v>
      </c>
      <c r="E107" s="129">
        <f t="shared" si="21"/>
        <v>4</v>
      </c>
      <c r="F107" s="191">
        <f t="shared" si="22"/>
        <v>45389</v>
      </c>
      <c r="G107" s="129">
        <f t="shared" si="23"/>
        <v>14</v>
      </c>
      <c r="H107" s="129">
        <f t="shared" si="24"/>
        <v>7</v>
      </c>
      <c r="I107" s="129">
        <f t="shared" si="25"/>
        <v>7</v>
      </c>
      <c r="J107" s="192">
        <f t="shared" si="26"/>
        <v>45389</v>
      </c>
      <c r="K107" s="129" t="str" cm="1">
        <f t="array" ref="K107">IF(AND(I107&lt;7,INDEX(B_tblFTMatrix,$E107,$H107)="x"),"ft","")</f>
        <v/>
      </c>
      <c r="L107" s="129"/>
      <c r="M107" s="129"/>
      <c r="N107" s="129">
        <f t="shared" si="17"/>
        <v>0</v>
      </c>
      <c r="O107" s="129">
        <f t="shared" si="27"/>
        <v>0</v>
      </c>
      <c r="P107" s="231">
        <f t="shared" si="18"/>
        <v>0</v>
      </c>
      <c r="Q107" s="233" cm="1">
        <f t="array" ref="Q107">SUMPRODUCT((H_tblBGTage=I107)*(H_tblBGMnt=E107)*H_tblBG%)</f>
        <v>0</v>
      </c>
      <c r="R107" s="231">
        <f t="shared" si="28"/>
        <v>0</v>
      </c>
      <c r="S107" s="237"/>
      <c r="T107" s="237"/>
      <c r="U107" s="236" cm="1">
        <f t="array" ref="U107">SUMPRODUCT((APR!M_Verweiszeile=$H107)*APR!M_ProdTag*(APR!M_Monat=$E107))</f>
        <v>0</v>
      </c>
      <c r="V107" s="236" cm="1">
        <f t="array" ref="V107">SUMPRODUCT((APR!M_Verweiszeile=$H107)*APR!M_ProdN1*(APR!M_Monat=$E107))</f>
        <v>0</v>
      </c>
      <c r="W107" s="236" cm="1">
        <f t="array" ref="W107">SUMPRODUCT((APR!M_Verweiszeile=$H107)*APR!M_ProdN2*(APR!M_Monat=$E107))</f>
        <v>0</v>
      </c>
      <c r="X107" s="236">
        <f t="shared" si="29"/>
        <v>0</v>
      </c>
      <c r="Y107" s="236">
        <f t="shared" si="19"/>
        <v>0</v>
      </c>
      <c r="Z107" s="236">
        <f t="shared" si="20"/>
        <v>0</v>
      </c>
      <c r="AA107" s="236">
        <f t="shared" si="30"/>
        <v>0</v>
      </c>
      <c r="AB107" s="236">
        <f t="shared" si="31"/>
        <v>0</v>
      </c>
      <c r="AC107" s="236">
        <f t="shared" si="32"/>
        <v>0</v>
      </c>
    </row>
    <row r="108" spans="3:29" x14ac:dyDescent="0.2">
      <c r="C108" s="129">
        <v>99</v>
      </c>
      <c r="D108" s="190">
        <f t="shared" si="33"/>
        <v>45390</v>
      </c>
      <c r="E108" s="129">
        <f t="shared" si="21"/>
        <v>4</v>
      </c>
      <c r="F108" s="191">
        <f t="shared" si="22"/>
        <v>45390</v>
      </c>
      <c r="G108" s="129">
        <f t="shared" si="23"/>
        <v>15</v>
      </c>
      <c r="H108" s="129">
        <f t="shared" si="24"/>
        <v>8</v>
      </c>
      <c r="I108" s="129">
        <f t="shared" si="25"/>
        <v>1</v>
      </c>
      <c r="J108" s="192">
        <f t="shared" si="26"/>
        <v>45390</v>
      </c>
      <c r="K108" s="129" t="str" cm="1">
        <f t="array" ref="K108">IF(AND(I108&lt;7,INDEX(B_tblFTMatrix,$E108,$H108)="x"),"ft","")</f>
        <v/>
      </c>
      <c r="L108" s="129"/>
      <c r="M108" s="129"/>
      <c r="N108" s="129">
        <f t="shared" si="17"/>
        <v>1</v>
      </c>
      <c r="O108" s="129">
        <f t="shared" si="27"/>
        <v>1</v>
      </c>
      <c r="P108" s="231">
        <f t="shared" si="18"/>
        <v>8</v>
      </c>
      <c r="Q108" s="233" cm="1">
        <f t="array" ref="Q108">SUMPRODUCT((H_tblBGTage=I108)*(H_tblBGMnt=E108)*H_tblBG%)</f>
        <v>1</v>
      </c>
      <c r="R108" s="231">
        <f t="shared" si="28"/>
        <v>8</v>
      </c>
      <c r="S108" s="237"/>
      <c r="T108" s="237"/>
      <c r="U108" s="236" cm="1">
        <f t="array" ref="U108">SUMPRODUCT((APR!M_Verweiszeile=$H108)*APR!M_ProdTag*(APR!M_Monat=$E108))</f>
        <v>0</v>
      </c>
      <c r="V108" s="236" cm="1">
        <f t="array" ref="V108">SUMPRODUCT((APR!M_Verweiszeile=$H108)*APR!M_ProdN1*(APR!M_Monat=$E108))</f>
        <v>0</v>
      </c>
      <c r="W108" s="236" cm="1">
        <f t="array" ref="W108">SUMPRODUCT((APR!M_Verweiszeile=$H108)*APR!M_ProdN2*(APR!M_Monat=$E108))</f>
        <v>0</v>
      </c>
      <c r="X108" s="236">
        <f t="shared" si="29"/>
        <v>0</v>
      </c>
      <c r="Y108" s="236">
        <f t="shared" si="19"/>
        <v>0</v>
      </c>
      <c r="Z108" s="236">
        <f t="shared" si="20"/>
        <v>0</v>
      </c>
      <c r="AA108" s="236">
        <f t="shared" si="30"/>
        <v>0</v>
      </c>
      <c r="AB108" s="236">
        <f t="shared" si="31"/>
        <v>0</v>
      </c>
      <c r="AC108" s="236">
        <f t="shared" si="32"/>
        <v>0</v>
      </c>
    </row>
    <row r="109" spans="3:29" x14ac:dyDescent="0.2">
      <c r="C109" s="129">
        <v>100</v>
      </c>
      <c r="D109" s="190">
        <f t="shared" si="33"/>
        <v>45391</v>
      </c>
      <c r="E109" s="129">
        <f t="shared" si="21"/>
        <v>4</v>
      </c>
      <c r="F109" s="191">
        <f t="shared" si="22"/>
        <v>45391</v>
      </c>
      <c r="G109" s="129">
        <f t="shared" si="23"/>
        <v>15</v>
      </c>
      <c r="H109" s="129">
        <f t="shared" si="24"/>
        <v>9</v>
      </c>
      <c r="I109" s="129">
        <f t="shared" si="25"/>
        <v>2</v>
      </c>
      <c r="J109" s="192">
        <f t="shared" si="26"/>
        <v>45391</v>
      </c>
      <c r="K109" s="129" t="str" cm="1">
        <f t="array" ref="K109">IF(AND(I109&lt;7,INDEX(B_tblFTMatrix,$E109,$H109)="x"),"ft","")</f>
        <v/>
      </c>
      <c r="L109" s="129"/>
      <c r="M109" s="129"/>
      <c r="N109" s="129">
        <f t="shared" si="17"/>
        <v>1</v>
      </c>
      <c r="O109" s="129">
        <f t="shared" si="27"/>
        <v>1</v>
      </c>
      <c r="P109" s="231">
        <f t="shared" si="18"/>
        <v>8</v>
      </c>
      <c r="Q109" s="233" cm="1">
        <f t="array" ref="Q109">SUMPRODUCT((H_tblBGTage=I109)*(H_tblBGMnt=E109)*H_tblBG%)</f>
        <v>1</v>
      </c>
      <c r="R109" s="231">
        <f t="shared" si="28"/>
        <v>8</v>
      </c>
      <c r="S109" s="237"/>
      <c r="T109" s="237"/>
      <c r="U109" s="236" cm="1">
        <f t="array" ref="U109">SUMPRODUCT((APR!M_Verweiszeile=$H109)*APR!M_ProdTag*(APR!M_Monat=$E109))</f>
        <v>0</v>
      </c>
      <c r="V109" s="236" cm="1">
        <f t="array" ref="V109">SUMPRODUCT((APR!M_Verweiszeile=$H109)*APR!M_ProdN1*(APR!M_Monat=$E109))</f>
        <v>0</v>
      </c>
      <c r="W109" s="236" cm="1">
        <f t="array" ref="W109">SUMPRODUCT((APR!M_Verweiszeile=$H109)*APR!M_ProdN2*(APR!M_Monat=$E109))</f>
        <v>0</v>
      </c>
      <c r="X109" s="236">
        <f t="shared" si="29"/>
        <v>0</v>
      </c>
      <c r="Y109" s="236">
        <f t="shared" si="19"/>
        <v>0</v>
      </c>
      <c r="Z109" s="236">
        <f t="shared" si="20"/>
        <v>0</v>
      </c>
      <c r="AA109" s="236">
        <f t="shared" si="30"/>
        <v>0</v>
      </c>
      <c r="AB109" s="236">
        <f t="shared" si="31"/>
        <v>0</v>
      </c>
      <c r="AC109" s="236">
        <f t="shared" si="32"/>
        <v>0</v>
      </c>
    </row>
    <row r="110" spans="3:29" x14ac:dyDescent="0.2">
      <c r="C110" s="129">
        <v>101</v>
      </c>
      <c r="D110" s="190">
        <f t="shared" si="33"/>
        <v>45392</v>
      </c>
      <c r="E110" s="129">
        <f t="shared" si="21"/>
        <v>4</v>
      </c>
      <c r="F110" s="191">
        <f t="shared" si="22"/>
        <v>45392</v>
      </c>
      <c r="G110" s="129">
        <f t="shared" si="23"/>
        <v>15</v>
      </c>
      <c r="H110" s="129">
        <f t="shared" si="24"/>
        <v>10</v>
      </c>
      <c r="I110" s="129">
        <f t="shared" si="25"/>
        <v>3</v>
      </c>
      <c r="J110" s="192">
        <f t="shared" si="26"/>
        <v>45392</v>
      </c>
      <c r="K110" s="129" t="str" cm="1">
        <f t="array" ref="K110">IF(AND(I110&lt;7,INDEX(B_tblFTMatrix,$E110,$H110)="x"),"ft","")</f>
        <v/>
      </c>
      <c r="L110" s="129"/>
      <c r="M110" s="129"/>
      <c r="N110" s="129">
        <f t="shared" si="17"/>
        <v>1</v>
      </c>
      <c r="O110" s="129">
        <f t="shared" si="27"/>
        <v>1</v>
      </c>
      <c r="P110" s="231">
        <f t="shared" si="18"/>
        <v>8</v>
      </c>
      <c r="Q110" s="233" cm="1">
        <f t="array" ref="Q110">SUMPRODUCT((H_tblBGTage=I110)*(H_tblBGMnt=E110)*H_tblBG%)</f>
        <v>1</v>
      </c>
      <c r="R110" s="231">
        <f t="shared" si="28"/>
        <v>8</v>
      </c>
      <c r="S110" s="237"/>
      <c r="T110" s="237"/>
      <c r="U110" s="236" cm="1">
        <f t="array" ref="U110">SUMPRODUCT((APR!M_Verweiszeile=$H110)*APR!M_ProdTag*(APR!M_Monat=$E110))</f>
        <v>0</v>
      </c>
      <c r="V110" s="236" cm="1">
        <f t="array" ref="V110">SUMPRODUCT((APR!M_Verweiszeile=$H110)*APR!M_ProdN1*(APR!M_Monat=$E110))</f>
        <v>0</v>
      </c>
      <c r="W110" s="236" cm="1">
        <f t="array" ref="W110">SUMPRODUCT((APR!M_Verweiszeile=$H110)*APR!M_ProdN2*(APR!M_Monat=$E110))</f>
        <v>0</v>
      </c>
      <c r="X110" s="236">
        <f t="shared" si="29"/>
        <v>0</v>
      </c>
      <c r="Y110" s="236">
        <f t="shared" si="19"/>
        <v>0</v>
      </c>
      <c r="Z110" s="236">
        <f t="shared" si="20"/>
        <v>0</v>
      </c>
      <c r="AA110" s="236">
        <f t="shared" si="30"/>
        <v>0</v>
      </c>
      <c r="AB110" s="236">
        <f t="shared" si="31"/>
        <v>0</v>
      </c>
      <c r="AC110" s="236">
        <f t="shared" si="32"/>
        <v>0</v>
      </c>
    </row>
    <row r="111" spans="3:29" x14ac:dyDescent="0.2">
      <c r="C111" s="129">
        <v>102</v>
      </c>
      <c r="D111" s="190">
        <f t="shared" si="33"/>
        <v>45393</v>
      </c>
      <c r="E111" s="129">
        <f t="shared" si="21"/>
        <v>4</v>
      </c>
      <c r="F111" s="191">
        <f t="shared" si="22"/>
        <v>45393</v>
      </c>
      <c r="G111" s="129">
        <f t="shared" si="23"/>
        <v>15</v>
      </c>
      <c r="H111" s="129">
        <f t="shared" si="24"/>
        <v>11</v>
      </c>
      <c r="I111" s="129">
        <f t="shared" si="25"/>
        <v>4</v>
      </c>
      <c r="J111" s="192">
        <f t="shared" si="26"/>
        <v>45393</v>
      </c>
      <c r="K111" s="129" t="str" cm="1">
        <f t="array" ref="K111">IF(AND(I111&lt;7,INDEX(B_tblFTMatrix,$E111,$H111)="x"),"ft","")</f>
        <v/>
      </c>
      <c r="L111" s="129"/>
      <c r="M111" s="129"/>
      <c r="N111" s="129">
        <f t="shared" si="17"/>
        <v>1</v>
      </c>
      <c r="O111" s="129">
        <f t="shared" si="27"/>
        <v>1</v>
      </c>
      <c r="P111" s="231">
        <f t="shared" si="18"/>
        <v>8</v>
      </c>
      <c r="Q111" s="233" cm="1">
        <f t="array" ref="Q111">SUMPRODUCT((H_tblBGTage=I111)*(H_tblBGMnt=E111)*H_tblBG%)</f>
        <v>1</v>
      </c>
      <c r="R111" s="231">
        <f t="shared" si="28"/>
        <v>8</v>
      </c>
      <c r="S111" s="237"/>
      <c r="T111" s="237"/>
      <c r="U111" s="236" cm="1">
        <f t="array" ref="U111">SUMPRODUCT((APR!M_Verweiszeile=$H111)*APR!M_ProdTag*(APR!M_Monat=$E111))</f>
        <v>0</v>
      </c>
      <c r="V111" s="236" cm="1">
        <f t="array" ref="V111">SUMPRODUCT((APR!M_Verweiszeile=$H111)*APR!M_ProdN1*(APR!M_Monat=$E111))</f>
        <v>0</v>
      </c>
      <c r="W111" s="236" cm="1">
        <f t="array" ref="W111">SUMPRODUCT((APR!M_Verweiszeile=$H111)*APR!M_ProdN2*(APR!M_Monat=$E111))</f>
        <v>0</v>
      </c>
      <c r="X111" s="236">
        <f t="shared" si="29"/>
        <v>0</v>
      </c>
      <c r="Y111" s="236">
        <f t="shared" si="19"/>
        <v>0</v>
      </c>
      <c r="Z111" s="236">
        <f t="shared" si="20"/>
        <v>0</v>
      </c>
      <c r="AA111" s="236">
        <f t="shared" si="30"/>
        <v>0</v>
      </c>
      <c r="AB111" s="236">
        <f t="shared" si="31"/>
        <v>0</v>
      </c>
      <c r="AC111" s="236">
        <f t="shared" si="32"/>
        <v>0</v>
      </c>
    </row>
    <row r="112" spans="3:29" x14ac:dyDescent="0.2">
      <c r="C112" s="129">
        <v>103</v>
      </c>
      <c r="D112" s="190">
        <f t="shared" si="33"/>
        <v>45394</v>
      </c>
      <c r="E112" s="129">
        <f t="shared" si="21"/>
        <v>4</v>
      </c>
      <c r="F112" s="191">
        <f t="shared" si="22"/>
        <v>45394</v>
      </c>
      <c r="G112" s="129">
        <f t="shared" si="23"/>
        <v>15</v>
      </c>
      <c r="H112" s="129">
        <f t="shared" si="24"/>
        <v>12</v>
      </c>
      <c r="I112" s="129">
        <f t="shared" si="25"/>
        <v>5</v>
      </c>
      <c r="J112" s="192">
        <f t="shared" si="26"/>
        <v>45394</v>
      </c>
      <c r="K112" s="129" t="str" cm="1">
        <f t="array" ref="K112">IF(AND(I112&lt;7,INDEX(B_tblFTMatrix,$E112,$H112)="x"),"ft","")</f>
        <v/>
      </c>
      <c r="L112" s="129"/>
      <c r="M112" s="129"/>
      <c r="N112" s="129">
        <f t="shared" si="17"/>
        <v>1</v>
      </c>
      <c r="O112" s="129">
        <f t="shared" si="27"/>
        <v>1</v>
      </c>
      <c r="P112" s="231">
        <f t="shared" si="18"/>
        <v>8</v>
      </c>
      <c r="Q112" s="233" cm="1">
        <f t="array" ref="Q112">SUMPRODUCT((H_tblBGTage=I112)*(H_tblBGMnt=E112)*H_tblBG%)</f>
        <v>1</v>
      </c>
      <c r="R112" s="231">
        <f t="shared" si="28"/>
        <v>8</v>
      </c>
      <c r="S112" s="237"/>
      <c r="T112" s="237"/>
      <c r="U112" s="236" cm="1">
        <f t="array" ref="U112">SUMPRODUCT((APR!M_Verweiszeile=$H112)*APR!M_ProdTag*(APR!M_Monat=$E112))</f>
        <v>0</v>
      </c>
      <c r="V112" s="236" cm="1">
        <f t="array" ref="V112">SUMPRODUCT((APR!M_Verweiszeile=$H112)*APR!M_ProdN1*(APR!M_Monat=$E112))</f>
        <v>0</v>
      </c>
      <c r="W112" s="236" cm="1">
        <f t="array" ref="W112">SUMPRODUCT((APR!M_Verweiszeile=$H112)*APR!M_ProdN2*(APR!M_Monat=$E112))</f>
        <v>0</v>
      </c>
      <c r="X112" s="236">
        <f t="shared" si="29"/>
        <v>0</v>
      </c>
      <c r="Y112" s="236">
        <f t="shared" si="19"/>
        <v>0</v>
      </c>
      <c r="Z112" s="236">
        <f t="shared" si="20"/>
        <v>0</v>
      </c>
      <c r="AA112" s="236">
        <f t="shared" si="30"/>
        <v>0</v>
      </c>
      <c r="AB112" s="236">
        <f t="shared" si="31"/>
        <v>0</v>
      </c>
      <c r="AC112" s="236">
        <f t="shared" si="32"/>
        <v>0</v>
      </c>
    </row>
    <row r="113" spans="3:29" x14ac:dyDescent="0.2">
      <c r="C113" s="129">
        <v>104</v>
      </c>
      <c r="D113" s="190">
        <f t="shared" si="33"/>
        <v>45395</v>
      </c>
      <c r="E113" s="129">
        <f t="shared" si="21"/>
        <v>4</v>
      </c>
      <c r="F113" s="191">
        <f t="shared" si="22"/>
        <v>45395</v>
      </c>
      <c r="G113" s="129">
        <f t="shared" si="23"/>
        <v>15</v>
      </c>
      <c r="H113" s="129">
        <f t="shared" si="24"/>
        <v>13</v>
      </c>
      <c r="I113" s="129">
        <f t="shared" si="25"/>
        <v>6</v>
      </c>
      <c r="J113" s="192">
        <f t="shared" si="26"/>
        <v>45395</v>
      </c>
      <c r="K113" s="129" t="str" cm="1">
        <f t="array" ref="K113">IF(AND(I113&lt;7,INDEX(B_tblFTMatrix,$E113,$H113)="x"),"ft","")</f>
        <v/>
      </c>
      <c r="L113" s="129"/>
      <c r="M113" s="129"/>
      <c r="N113" s="129">
        <f t="shared" si="17"/>
        <v>0</v>
      </c>
      <c r="O113" s="129">
        <f t="shared" si="27"/>
        <v>0</v>
      </c>
      <c r="P113" s="231">
        <f t="shared" si="18"/>
        <v>0</v>
      </c>
      <c r="Q113" s="233" cm="1">
        <f t="array" ref="Q113">SUMPRODUCT((H_tblBGTage=I113)*(H_tblBGMnt=E113)*H_tblBG%)</f>
        <v>0</v>
      </c>
      <c r="R113" s="231">
        <f t="shared" si="28"/>
        <v>0</v>
      </c>
      <c r="S113" s="237"/>
      <c r="T113" s="237"/>
      <c r="U113" s="236" cm="1">
        <f t="array" ref="U113">SUMPRODUCT((APR!M_Verweiszeile=$H113)*APR!M_ProdTag*(APR!M_Monat=$E113))</f>
        <v>0</v>
      </c>
      <c r="V113" s="236" cm="1">
        <f t="array" ref="V113">SUMPRODUCT((APR!M_Verweiszeile=$H113)*APR!M_ProdN1*(APR!M_Monat=$E113))</f>
        <v>0</v>
      </c>
      <c r="W113" s="236" cm="1">
        <f t="array" ref="W113">SUMPRODUCT((APR!M_Verweiszeile=$H113)*APR!M_ProdN2*(APR!M_Monat=$E113))</f>
        <v>0</v>
      </c>
      <c r="X113" s="236">
        <f t="shared" si="29"/>
        <v>0</v>
      </c>
      <c r="Y113" s="236">
        <f t="shared" si="19"/>
        <v>0</v>
      </c>
      <c r="Z113" s="236">
        <f t="shared" si="20"/>
        <v>0</v>
      </c>
      <c r="AA113" s="236">
        <f t="shared" si="30"/>
        <v>0</v>
      </c>
      <c r="AB113" s="236">
        <f t="shared" si="31"/>
        <v>0</v>
      </c>
      <c r="AC113" s="236">
        <f t="shared" si="32"/>
        <v>0</v>
      </c>
    </row>
    <row r="114" spans="3:29" x14ac:dyDescent="0.2">
      <c r="C114" s="129">
        <v>105</v>
      </c>
      <c r="D114" s="190">
        <f t="shared" si="33"/>
        <v>45396</v>
      </c>
      <c r="E114" s="129">
        <f t="shared" si="21"/>
        <v>4</v>
      </c>
      <c r="F114" s="191">
        <f t="shared" si="22"/>
        <v>45396</v>
      </c>
      <c r="G114" s="129">
        <f t="shared" si="23"/>
        <v>15</v>
      </c>
      <c r="H114" s="129">
        <f t="shared" si="24"/>
        <v>14</v>
      </c>
      <c r="I114" s="129">
        <f t="shared" si="25"/>
        <v>7</v>
      </c>
      <c r="J114" s="192">
        <f t="shared" si="26"/>
        <v>45396</v>
      </c>
      <c r="K114" s="129" t="str" cm="1">
        <f t="array" ref="K114">IF(AND(I114&lt;7,INDEX(B_tblFTMatrix,$E114,$H114)="x"),"ft","")</f>
        <v/>
      </c>
      <c r="L114" s="129"/>
      <c r="M114" s="129"/>
      <c r="N114" s="129">
        <f t="shared" si="17"/>
        <v>0</v>
      </c>
      <c r="O114" s="129">
        <f t="shared" si="27"/>
        <v>0</v>
      </c>
      <c r="P114" s="231">
        <f t="shared" si="18"/>
        <v>0</v>
      </c>
      <c r="Q114" s="233" cm="1">
        <f t="array" ref="Q114">SUMPRODUCT((H_tblBGTage=I114)*(H_tblBGMnt=E114)*H_tblBG%)</f>
        <v>0</v>
      </c>
      <c r="R114" s="231">
        <f t="shared" si="28"/>
        <v>0</v>
      </c>
      <c r="S114" s="237"/>
      <c r="T114" s="237"/>
      <c r="U114" s="236" cm="1">
        <f t="array" ref="U114">SUMPRODUCT((APR!M_Verweiszeile=$H114)*APR!M_ProdTag*(APR!M_Monat=$E114))</f>
        <v>0</v>
      </c>
      <c r="V114" s="236" cm="1">
        <f t="array" ref="V114">SUMPRODUCT((APR!M_Verweiszeile=$H114)*APR!M_ProdN1*(APR!M_Monat=$E114))</f>
        <v>0</v>
      </c>
      <c r="W114" s="236" cm="1">
        <f t="array" ref="W114">SUMPRODUCT((APR!M_Verweiszeile=$H114)*APR!M_ProdN2*(APR!M_Monat=$E114))</f>
        <v>0</v>
      </c>
      <c r="X114" s="236">
        <f t="shared" si="29"/>
        <v>0</v>
      </c>
      <c r="Y114" s="236">
        <f t="shared" si="19"/>
        <v>0</v>
      </c>
      <c r="Z114" s="236">
        <f t="shared" si="20"/>
        <v>0</v>
      </c>
      <c r="AA114" s="236">
        <f t="shared" si="30"/>
        <v>0</v>
      </c>
      <c r="AB114" s="236">
        <f t="shared" si="31"/>
        <v>0</v>
      </c>
      <c r="AC114" s="236">
        <f t="shared" si="32"/>
        <v>0</v>
      </c>
    </row>
    <row r="115" spans="3:29" x14ac:dyDescent="0.2">
      <c r="C115" s="129">
        <v>106</v>
      </c>
      <c r="D115" s="190">
        <f t="shared" si="33"/>
        <v>45397</v>
      </c>
      <c r="E115" s="129">
        <f t="shared" si="21"/>
        <v>4</v>
      </c>
      <c r="F115" s="191">
        <f t="shared" si="22"/>
        <v>45397</v>
      </c>
      <c r="G115" s="129">
        <f t="shared" si="23"/>
        <v>16</v>
      </c>
      <c r="H115" s="129">
        <f t="shared" si="24"/>
        <v>15</v>
      </c>
      <c r="I115" s="129">
        <f t="shared" si="25"/>
        <v>1</v>
      </c>
      <c r="J115" s="192">
        <f t="shared" si="26"/>
        <v>45397</v>
      </c>
      <c r="K115" s="129" t="str" cm="1">
        <f t="array" ref="K115">IF(AND(I115&lt;7,INDEX(B_tblFTMatrix,$E115,$H115)="x"),"ft","")</f>
        <v/>
      </c>
      <c r="L115" s="129"/>
      <c r="M115" s="129"/>
      <c r="N115" s="129">
        <f t="shared" si="17"/>
        <v>1</v>
      </c>
      <c r="O115" s="129">
        <f t="shared" si="27"/>
        <v>1</v>
      </c>
      <c r="P115" s="231">
        <f t="shared" si="18"/>
        <v>8</v>
      </c>
      <c r="Q115" s="233" cm="1">
        <f t="array" ref="Q115">SUMPRODUCT((H_tblBGTage=I115)*(H_tblBGMnt=E115)*H_tblBG%)</f>
        <v>1</v>
      </c>
      <c r="R115" s="231">
        <f t="shared" si="28"/>
        <v>8</v>
      </c>
      <c r="S115" s="237"/>
      <c r="T115" s="237"/>
      <c r="U115" s="236" cm="1">
        <f t="array" ref="U115">SUMPRODUCT((APR!M_Verweiszeile=$H115)*APR!M_ProdTag*(APR!M_Monat=$E115))</f>
        <v>0</v>
      </c>
      <c r="V115" s="236" cm="1">
        <f t="array" ref="V115">SUMPRODUCT((APR!M_Verweiszeile=$H115)*APR!M_ProdN1*(APR!M_Monat=$E115))</f>
        <v>0</v>
      </c>
      <c r="W115" s="236" cm="1">
        <f t="array" ref="W115">SUMPRODUCT((APR!M_Verweiszeile=$H115)*APR!M_ProdN2*(APR!M_Monat=$E115))</f>
        <v>0</v>
      </c>
      <c r="X115" s="236">
        <f t="shared" si="29"/>
        <v>0</v>
      </c>
      <c r="Y115" s="236">
        <f t="shared" si="19"/>
        <v>0</v>
      </c>
      <c r="Z115" s="236">
        <f t="shared" si="20"/>
        <v>0</v>
      </c>
      <c r="AA115" s="236">
        <f t="shared" si="30"/>
        <v>0</v>
      </c>
      <c r="AB115" s="236">
        <f t="shared" si="31"/>
        <v>0</v>
      </c>
      <c r="AC115" s="236">
        <f t="shared" si="32"/>
        <v>0</v>
      </c>
    </row>
    <row r="116" spans="3:29" x14ac:dyDescent="0.2">
      <c r="C116" s="129">
        <v>107</v>
      </c>
      <c r="D116" s="190">
        <f t="shared" si="33"/>
        <v>45398</v>
      </c>
      <c r="E116" s="129">
        <f t="shared" si="21"/>
        <v>4</v>
      </c>
      <c r="F116" s="191">
        <f t="shared" si="22"/>
        <v>45398</v>
      </c>
      <c r="G116" s="129">
        <f t="shared" si="23"/>
        <v>16</v>
      </c>
      <c r="H116" s="129">
        <f t="shared" si="24"/>
        <v>16</v>
      </c>
      <c r="I116" s="129">
        <f t="shared" si="25"/>
        <v>2</v>
      </c>
      <c r="J116" s="192">
        <f t="shared" si="26"/>
        <v>45398</v>
      </c>
      <c r="K116" s="129" t="str" cm="1">
        <f t="array" ref="K116">IF(AND(I116&lt;7,INDEX(B_tblFTMatrix,$E116,$H116)="x"),"ft","")</f>
        <v/>
      </c>
      <c r="L116" s="129"/>
      <c r="M116" s="129"/>
      <c r="N116" s="129">
        <f t="shared" si="17"/>
        <v>1</v>
      </c>
      <c r="O116" s="129">
        <f t="shared" si="27"/>
        <v>1</v>
      </c>
      <c r="P116" s="231">
        <f t="shared" si="18"/>
        <v>8</v>
      </c>
      <c r="Q116" s="233" cm="1">
        <f t="array" ref="Q116">SUMPRODUCT((H_tblBGTage=I116)*(H_tblBGMnt=E116)*H_tblBG%)</f>
        <v>1</v>
      </c>
      <c r="R116" s="231">
        <f t="shared" si="28"/>
        <v>8</v>
      </c>
      <c r="S116" s="237"/>
      <c r="T116" s="237"/>
      <c r="U116" s="236" cm="1">
        <f t="array" ref="U116">SUMPRODUCT((APR!M_Verweiszeile=$H116)*APR!M_ProdTag*(APR!M_Monat=$E116))</f>
        <v>0</v>
      </c>
      <c r="V116" s="236" cm="1">
        <f t="array" ref="V116">SUMPRODUCT((APR!M_Verweiszeile=$H116)*APR!M_ProdN1*(APR!M_Monat=$E116))</f>
        <v>0</v>
      </c>
      <c r="W116" s="236" cm="1">
        <f t="array" ref="W116">SUMPRODUCT((APR!M_Verweiszeile=$H116)*APR!M_ProdN2*(APR!M_Monat=$E116))</f>
        <v>0</v>
      </c>
      <c r="X116" s="236">
        <f t="shared" si="29"/>
        <v>0</v>
      </c>
      <c r="Y116" s="236">
        <f t="shared" si="19"/>
        <v>0</v>
      </c>
      <c r="Z116" s="236">
        <f t="shared" si="20"/>
        <v>0</v>
      </c>
      <c r="AA116" s="236">
        <f t="shared" si="30"/>
        <v>0</v>
      </c>
      <c r="AB116" s="236">
        <f t="shared" si="31"/>
        <v>0</v>
      </c>
      <c r="AC116" s="236">
        <f t="shared" si="32"/>
        <v>0</v>
      </c>
    </row>
    <row r="117" spans="3:29" x14ac:dyDescent="0.2">
      <c r="C117" s="129">
        <v>108</v>
      </c>
      <c r="D117" s="190">
        <f t="shared" si="33"/>
        <v>45399</v>
      </c>
      <c r="E117" s="129">
        <f t="shared" si="21"/>
        <v>4</v>
      </c>
      <c r="F117" s="191">
        <f t="shared" si="22"/>
        <v>45399</v>
      </c>
      <c r="G117" s="129">
        <f t="shared" si="23"/>
        <v>16</v>
      </c>
      <c r="H117" s="129">
        <f t="shared" si="24"/>
        <v>17</v>
      </c>
      <c r="I117" s="129">
        <f t="shared" si="25"/>
        <v>3</v>
      </c>
      <c r="J117" s="192">
        <f t="shared" si="26"/>
        <v>45399</v>
      </c>
      <c r="K117" s="129" t="str" cm="1">
        <f t="array" ref="K117">IF(AND(I117&lt;7,INDEX(B_tblFTMatrix,$E117,$H117)="x"),"ft","")</f>
        <v/>
      </c>
      <c r="L117" s="129"/>
      <c r="M117" s="129"/>
      <c r="N117" s="129">
        <f t="shared" si="17"/>
        <v>1</v>
      </c>
      <c r="O117" s="129">
        <f t="shared" si="27"/>
        <v>1</v>
      </c>
      <c r="P117" s="231">
        <f t="shared" si="18"/>
        <v>8</v>
      </c>
      <c r="Q117" s="233" cm="1">
        <f t="array" ref="Q117">SUMPRODUCT((H_tblBGTage=I117)*(H_tblBGMnt=E117)*H_tblBG%)</f>
        <v>1</v>
      </c>
      <c r="R117" s="231">
        <f t="shared" si="28"/>
        <v>8</v>
      </c>
      <c r="S117" s="237"/>
      <c r="T117" s="237"/>
      <c r="U117" s="236" cm="1">
        <f t="array" ref="U117">SUMPRODUCT((APR!M_Verweiszeile=$H117)*APR!M_ProdTag*(APR!M_Monat=$E117))</f>
        <v>0</v>
      </c>
      <c r="V117" s="236" cm="1">
        <f t="array" ref="V117">SUMPRODUCT((APR!M_Verweiszeile=$H117)*APR!M_ProdN1*(APR!M_Monat=$E117))</f>
        <v>0</v>
      </c>
      <c r="W117" s="236" cm="1">
        <f t="array" ref="W117">SUMPRODUCT((APR!M_Verweiszeile=$H117)*APR!M_ProdN2*(APR!M_Monat=$E117))</f>
        <v>0</v>
      </c>
      <c r="X117" s="236">
        <f t="shared" si="29"/>
        <v>0</v>
      </c>
      <c r="Y117" s="236">
        <f t="shared" si="19"/>
        <v>0</v>
      </c>
      <c r="Z117" s="236">
        <f t="shared" si="20"/>
        <v>0</v>
      </c>
      <c r="AA117" s="236">
        <f t="shared" si="30"/>
        <v>0</v>
      </c>
      <c r="AB117" s="236">
        <f t="shared" si="31"/>
        <v>0</v>
      </c>
      <c r="AC117" s="236">
        <f t="shared" si="32"/>
        <v>0</v>
      </c>
    </row>
    <row r="118" spans="3:29" x14ac:dyDescent="0.2">
      <c r="C118" s="129">
        <v>109</v>
      </c>
      <c r="D118" s="190">
        <f t="shared" si="33"/>
        <v>45400</v>
      </c>
      <c r="E118" s="129">
        <f t="shared" si="21"/>
        <v>4</v>
      </c>
      <c r="F118" s="191">
        <f t="shared" si="22"/>
        <v>45400</v>
      </c>
      <c r="G118" s="129">
        <f t="shared" si="23"/>
        <v>16</v>
      </c>
      <c r="H118" s="129">
        <f t="shared" si="24"/>
        <v>18</v>
      </c>
      <c r="I118" s="129">
        <f t="shared" si="25"/>
        <v>4</v>
      </c>
      <c r="J118" s="192">
        <f t="shared" si="26"/>
        <v>45400</v>
      </c>
      <c r="K118" s="129" t="str" cm="1">
        <f t="array" ref="K118">IF(AND(I118&lt;7,INDEX(B_tblFTMatrix,$E118,$H118)="x"),"ft","")</f>
        <v/>
      </c>
      <c r="L118" s="129"/>
      <c r="M118" s="129"/>
      <c r="N118" s="129">
        <f t="shared" si="17"/>
        <v>1</v>
      </c>
      <c r="O118" s="129">
        <f t="shared" si="27"/>
        <v>1</v>
      </c>
      <c r="P118" s="231">
        <f t="shared" si="18"/>
        <v>8</v>
      </c>
      <c r="Q118" s="233" cm="1">
        <f t="array" ref="Q118">SUMPRODUCT((H_tblBGTage=I118)*(H_tblBGMnt=E118)*H_tblBG%)</f>
        <v>1</v>
      </c>
      <c r="R118" s="231">
        <f t="shared" si="28"/>
        <v>8</v>
      </c>
      <c r="S118" s="237"/>
      <c r="T118" s="237"/>
      <c r="U118" s="236" cm="1">
        <f t="array" ref="U118">SUMPRODUCT((APR!M_Verweiszeile=$H118)*APR!M_ProdTag*(APR!M_Monat=$E118))</f>
        <v>0</v>
      </c>
      <c r="V118" s="236" cm="1">
        <f t="array" ref="V118">SUMPRODUCT((APR!M_Verweiszeile=$H118)*APR!M_ProdN1*(APR!M_Monat=$E118))</f>
        <v>0</v>
      </c>
      <c r="W118" s="236" cm="1">
        <f t="array" ref="W118">SUMPRODUCT((APR!M_Verweiszeile=$H118)*APR!M_ProdN2*(APR!M_Monat=$E118))</f>
        <v>0</v>
      </c>
      <c r="X118" s="236">
        <f t="shared" si="29"/>
        <v>0</v>
      </c>
      <c r="Y118" s="236">
        <f t="shared" si="19"/>
        <v>0</v>
      </c>
      <c r="Z118" s="236">
        <f t="shared" si="20"/>
        <v>0</v>
      </c>
      <c r="AA118" s="236">
        <f t="shared" si="30"/>
        <v>0</v>
      </c>
      <c r="AB118" s="236">
        <f t="shared" si="31"/>
        <v>0</v>
      </c>
      <c r="AC118" s="236">
        <f t="shared" si="32"/>
        <v>0</v>
      </c>
    </row>
    <row r="119" spans="3:29" x14ac:dyDescent="0.2">
      <c r="C119" s="129">
        <v>110</v>
      </c>
      <c r="D119" s="190">
        <f t="shared" si="33"/>
        <v>45401</v>
      </c>
      <c r="E119" s="129">
        <f t="shared" si="21"/>
        <v>4</v>
      </c>
      <c r="F119" s="191">
        <f t="shared" si="22"/>
        <v>45401</v>
      </c>
      <c r="G119" s="129">
        <f t="shared" si="23"/>
        <v>16</v>
      </c>
      <c r="H119" s="129">
        <f t="shared" si="24"/>
        <v>19</v>
      </c>
      <c r="I119" s="129">
        <f t="shared" si="25"/>
        <v>5</v>
      </c>
      <c r="J119" s="192">
        <f t="shared" si="26"/>
        <v>45401</v>
      </c>
      <c r="K119" s="129" t="str" cm="1">
        <f t="array" ref="K119">IF(AND(I119&lt;7,INDEX(B_tblFTMatrix,$E119,$H119)="x"),"ft","")</f>
        <v/>
      </c>
      <c r="L119" s="129"/>
      <c r="M119" s="129"/>
      <c r="N119" s="129">
        <f t="shared" si="17"/>
        <v>1</v>
      </c>
      <c r="O119" s="129">
        <f t="shared" si="27"/>
        <v>1</v>
      </c>
      <c r="P119" s="231">
        <f t="shared" si="18"/>
        <v>8</v>
      </c>
      <c r="Q119" s="233" cm="1">
        <f t="array" ref="Q119">SUMPRODUCT((H_tblBGTage=I119)*(H_tblBGMnt=E119)*H_tblBG%)</f>
        <v>1</v>
      </c>
      <c r="R119" s="231">
        <f t="shared" si="28"/>
        <v>8</v>
      </c>
      <c r="S119" s="237"/>
      <c r="T119" s="237"/>
      <c r="U119" s="236" cm="1">
        <f t="array" ref="U119">SUMPRODUCT((APR!M_Verweiszeile=$H119)*APR!M_ProdTag*(APR!M_Monat=$E119))</f>
        <v>0</v>
      </c>
      <c r="V119" s="236" cm="1">
        <f t="array" ref="V119">SUMPRODUCT((APR!M_Verweiszeile=$H119)*APR!M_ProdN1*(APR!M_Monat=$E119))</f>
        <v>0</v>
      </c>
      <c r="W119" s="236" cm="1">
        <f t="array" ref="W119">SUMPRODUCT((APR!M_Verweiszeile=$H119)*APR!M_ProdN2*(APR!M_Monat=$E119))</f>
        <v>0</v>
      </c>
      <c r="X119" s="236">
        <f t="shared" si="29"/>
        <v>0</v>
      </c>
      <c r="Y119" s="236">
        <f t="shared" si="19"/>
        <v>0</v>
      </c>
      <c r="Z119" s="236">
        <f t="shared" si="20"/>
        <v>0</v>
      </c>
      <c r="AA119" s="236">
        <f t="shared" si="30"/>
        <v>0</v>
      </c>
      <c r="AB119" s="236">
        <f t="shared" si="31"/>
        <v>0</v>
      </c>
      <c r="AC119" s="236">
        <f t="shared" si="32"/>
        <v>0</v>
      </c>
    </row>
    <row r="120" spans="3:29" x14ac:dyDescent="0.2">
      <c r="C120" s="129">
        <v>111</v>
      </c>
      <c r="D120" s="190">
        <f t="shared" si="33"/>
        <v>45402</v>
      </c>
      <c r="E120" s="129">
        <f t="shared" si="21"/>
        <v>4</v>
      </c>
      <c r="F120" s="191">
        <f t="shared" si="22"/>
        <v>45402</v>
      </c>
      <c r="G120" s="129">
        <f t="shared" si="23"/>
        <v>16</v>
      </c>
      <c r="H120" s="129">
        <f t="shared" si="24"/>
        <v>20</v>
      </c>
      <c r="I120" s="129">
        <f t="shared" si="25"/>
        <v>6</v>
      </c>
      <c r="J120" s="192">
        <f t="shared" si="26"/>
        <v>45402</v>
      </c>
      <c r="K120" s="129" t="str" cm="1">
        <f t="array" ref="K120">IF(AND(I120&lt;7,INDEX(B_tblFTMatrix,$E120,$H120)="x"),"ft","")</f>
        <v/>
      </c>
      <c r="L120" s="129"/>
      <c r="M120" s="129"/>
      <c r="N120" s="129">
        <f t="shared" si="17"/>
        <v>0</v>
      </c>
      <c r="O120" s="129">
        <f t="shared" si="27"/>
        <v>0</v>
      </c>
      <c r="P120" s="231">
        <f t="shared" si="18"/>
        <v>0</v>
      </c>
      <c r="Q120" s="233" cm="1">
        <f t="array" ref="Q120">SUMPRODUCT((H_tblBGTage=I120)*(H_tblBGMnt=E120)*H_tblBG%)</f>
        <v>0</v>
      </c>
      <c r="R120" s="231">
        <f t="shared" si="28"/>
        <v>0</v>
      </c>
      <c r="S120" s="237"/>
      <c r="T120" s="237"/>
      <c r="U120" s="236" cm="1">
        <f t="array" ref="U120">SUMPRODUCT((APR!M_Verweiszeile=$H120)*APR!M_ProdTag*(APR!M_Monat=$E120))</f>
        <v>0</v>
      </c>
      <c r="V120" s="236" cm="1">
        <f t="array" ref="V120">SUMPRODUCT((APR!M_Verweiszeile=$H120)*APR!M_ProdN1*(APR!M_Monat=$E120))</f>
        <v>0</v>
      </c>
      <c r="W120" s="236" cm="1">
        <f t="array" ref="W120">SUMPRODUCT((APR!M_Verweiszeile=$H120)*APR!M_ProdN2*(APR!M_Monat=$E120))</f>
        <v>0</v>
      </c>
      <c r="X120" s="236">
        <f t="shared" si="29"/>
        <v>0</v>
      </c>
      <c r="Y120" s="236">
        <f t="shared" si="19"/>
        <v>0</v>
      </c>
      <c r="Z120" s="236">
        <f t="shared" si="20"/>
        <v>0</v>
      </c>
      <c r="AA120" s="236">
        <f t="shared" si="30"/>
        <v>0</v>
      </c>
      <c r="AB120" s="236">
        <f t="shared" si="31"/>
        <v>0</v>
      </c>
      <c r="AC120" s="236">
        <f t="shared" si="32"/>
        <v>0</v>
      </c>
    </row>
    <row r="121" spans="3:29" x14ac:dyDescent="0.2">
      <c r="C121" s="129">
        <v>112</v>
      </c>
      <c r="D121" s="190">
        <f t="shared" si="33"/>
        <v>45403</v>
      </c>
      <c r="E121" s="129">
        <f t="shared" si="21"/>
        <v>4</v>
      </c>
      <c r="F121" s="191">
        <f t="shared" si="22"/>
        <v>45403</v>
      </c>
      <c r="G121" s="129">
        <f t="shared" si="23"/>
        <v>16</v>
      </c>
      <c r="H121" s="129">
        <f t="shared" si="24"/>
        <v>21</v>
      </c>
      <c r="I121" s="129">
        <f t="shared" si="25"/>
        <v>7</v>
      </c>
      <c r="J121" s="192">
        <f t="shared" si="26"/>
        <v>45403</v>
      </c>
      <c r="K121" s="129" t="str" cm="1">
        <f t="array" ref="K121">IF(AND(I121&lt;7,INDEX(B_tblFTMatrix,$E121,$H121)="x"),"ft","")</f>
        <v/>
      </c>
      <c r="L121" s="129"/>
      <c r="M121" s="129"/>
      <c r="N121" s="129">
        <f t="shared" si="17"/>
        <v>0</v>
      </c>
      <c r="O121" s="129">
        <f t="shared" si="27"/>
        <v>0</v>
      </c>
      <c r="P121" s="231">
        <f t="shared" si="18"/>
        <v>0</v>
      </c>
      <c r="Q121" s="233" cm="1">
        <f t="array" ref="Q121">SUMPRODUCT((H_tblBGTage=I121)*(H_tblBGMnt=E121)*H_tblBG%)</f>
        <v>0</v>
      </c>
      <c r="R121" s="231">
        <f t="shared" si="28"/>
        <v>0</v>
      </c>
      <c r="S121" s="237"/>
      <c r="T121" s="237"/>
      <c r="U121" s="236" cm="1">
        <f t="array" ref="U121">SUMPRODUCT((APR!M_Verweiszeile=$H121)*APR!M_ProdTag*(APR!M_Monat=$E121))</f>
        <v>0</v>
      </c>
      <c r="V121" s="236" cm="1">
        <f t="array" ref="V121">SUMPRODUCT((APR!M_Verweiszeile=$H121)*APR!M_ProdN1*(APR!M_Monat=$E121))</f>
        <v>0</v>
      </c>
      <c r="W121" s="236" cm="1">
        <f t="array" ref="W121">SUMPRODUCT((APR!M_Verweiszeile=$H121)*APR!M_ProdN2*(APR!M_Monat=$E121))</f>
        <v>0</v>
      </c>
      <c r="X121" s="236">
        <f t="shared" si="29"/>
        <v>0</v>
      </c>
      <c r="Y121" s="236">
        <f t="shared" si="19"/>
        <v>0</v>
      </c>
      <c r="Z121" s="236">
        <f t="shared" si="20"/>
        <v>0</v>
      </c>
      <c r="AA121" s="236">
        <f t="shared" si="30"/>
        <v>0</v>
      </c>
      <c r="AB121" s="236">
        <f t="shared" si="31"/>
        <v>0</v>
      </c>
      <c r="AC121" s="236">
        <f t="shared" si="32"/>
        <v>0</v>
      </c>
    </row>
    <row r="122" spans="3:29" x14ac:dyDescent="0.2">
      <c r="C122" s="129">
        <v>113</v>
      </c>
      <c r="D122" s="190">
        <f t="shared" si="33"/>
        <v>45404</v>
      </c>
      <c r="E122" s="129">
        <f t="shared" si="21"/>
        <v>4</v>
      </c>
      <c r="F122" s="191">
        <f t="shared" si="22"/>
        <v>45404</v>
      </c>
      <c r="G122" s="129">
        <f t="shared" si="23"/>
        <v>17</v>
      </c>
      <c r="H122" s="129">
        <f t="shared" si="24"/>
        <v>22</v>
      </c>
      <c r="I122" s="129">
        <f t="shared" si="25"/>
        <v>1</v>
      </c>
      <c r="J122" s="192">
        <f t="shared" si="26"/>
        <v>45404</v>
      </c>
      <c r="K122" s="129" t="str" cm="1">
        <f t="array" ref="K122">IF(AND(I122&lt;7,INDEX(B_tblFTMatrix,$E122,$H122)="x"),"ft","")</f>
        <v/>
      </c>
      <c r="L122" s="129"/>
      <c r="M122" s="129"/>
      <c r="N122" s="129">
        <f t="shared" si="17"/>
        <v>1</v>
      </c>
      <c r="O122" s="129">
        <f t="shared" si="27"/>
        <v>1</v>
      </c>
      <c r="P122" s="231">
        <f t="shared" si="18"/>
        <v>8</v>
      </c>
      <c r="Q122" s="233" cm="1">
        <f t="array" ref="Q122">SUMPRODUCT((H_tblBGTage=I122)*(H_tblBGMnt=E122)*H_tblBG%)</f>
        <v>1</v>
      </c>
      <c r="R122" s="231">
        <f t="shared" si="28"/>
        <v>8</v>
      </c>
      <c r="S122" s="237"/>
      <c r="T122" s="237"/>
      <c r="U122" s="236" cm="1">
        <f t="array" ref="U122">SUMPRODUCT((APR!M_Verweiszeile=$H122)*APR!M_ProdTag*(APR!M_Monat=$E122))</f>
        <v>0</v>
      </c>
      <c r="V122" s="236" cm="1">
        <f t="array" ref="V122">SUMPRODUCT((APR!M_Verweiszeile=$H122)*APR!M_ProdN1*(APR!M_Monat=$E122))</f>
        <v>0</v>
      </c>
      <c r="W122" s="236" cm="1">
        <f t="array" ref="W122">SUMPRODUCT((APR!M_Verweiszeile=$H122)*APR!M_ProdN2*(APR!M_Monat=$E122))</f>
        <v>0</v>
      </c>
      <c r="X122" s="236">
        <f t="shared" si="29"/>
        <v>0</v>
      </c>
      <c r="Y122" s="236">
        <f t="shared" si="19"/>
        <v>0</v>
      </c>
      <c r="Z122" s="236">
        <f t="shared" si="20"/>
        <v>0</v>
      </c>
      <c r="AA122" s="236">
        <f t="shared" si="30"/>
        <v>0</v>
      </c>
      <c r="AB122" s="236">
        <f t="shared" si="31"/>
        <v>0</v>
      </c>
      <c r="AC122" s="236">
        <f t="shared" si="32"/>
        <v>0</v>
      </c>
    </row>
    <row r="123" spans="3:29" x14ac:dyDescent="0.2">
      <c r="C123" s="129">
        <v>114</v>
      </c>
      <c r="D123" s="190">
        <f t="shared" si="33"/>
        <v>45405</v>
      </c>
      <c r="E123" s="129">
        <f t="shared" si="21"/>
        <v>4</v>
      </c>
      <c r="F123" s="191">
        <f t="shared" si="22"/>
        <v>45405</v>
      </c>
      <c r="G123" s="129">
        <f t="shared" si="23"/>
        <v>17</v>
      </c>
      <c r="H123" s="129">
        <f t="shared" si="24"/>
        <v>23</v>
      </c>
      <c r="I123" s="129">
        <f t="shared" si="25"/>
        <v>2</v>
      </c>
      <c r="J123" s="192">
        <f t="shared" si="26"/>
        <v>45405</v>
      </c>
      <c r="K123" s="129" t="str" cm="1">
        <f t="array" ref="K123">IF(AND(I123&lt;7,INDEX(B_tblFTMatrix,$E123,$H123)="x"),"ft","")</f>
        <v/>
      </c>
      <c r="L123" s="129"/>
      <c r="M123" s="129"/>
      <c r="N123" s="129">
        <f t="shared" si="17"/>
        <v>1</v>
      </c>
      <c r="O123" s="129">
        <f t="shared" si="27"/>
        <v>1</v>
      </c>
      <c r="P123" s="231">
        <f t="shared" si="18"/>
        <v>8</v>
      </c>
      <c r="Q123" s="233" cm="1">
        <f t="array" ref="Q123">SUMPRODUCT((H_tblBGTage=I123)*(H_tblBGMnt=E123)*H_tblBG%)</f>
        <v>1</v>
      </c>
      <c r="R123" s="231">
        <f t="shared" si="28"/>
        <v>8</v>
      </c>
      <c r="S123" s="237"/>
      <c r="T123" s="237"/>
      <c r="U123" s="236" cm="1">
        <f t="array" ref="U123">SUMPRODUCT((APR!M_Verweiszeile=$H123)*APR!M_ProdTag*(APR!M_Monat=$E123))</f>
        <v>0</v>
      </c>
      <c r="V123" s="236" cm="1">
        <f t="array" ref="V123">SUMPRODUCT((APR!M_Verweiszeile=$H123)*APR!M_ProdN1*(APR!M_Monat=$E123))</f>
        <v>0</v>
      </c>
      <c r="W123" s="236" cm="1">
        <f t="array" ref="W123">SUMPRODUCT((APR!M_Verweiszeile=$H123)*APR!M_ProdN2*(APR!M_Monat=$E123))</f>
        <v>0</v>
      </c>
      <c r="X123" s="236">
        <f t="shared" si="29"/>
        <v>0</v>
      </c>
      <c r="Y123" s="236">
        <f t="shared" si="19"/>
        <v>0</v>
      </c>
      <c r="Z123" s="236">
        <f t="shared" si="20"/>
        <v>0</v>
      </c>
      <c r="AA123" s="236">
        <f t="shared" si="30"/>
        <v>0</v>
      </c>
      <c r="AB123" s="236">
        <f t="shared" si="31"/>
        <v>0</v>
      </c>
      <c r="AC123" s="236">
        <f t="shared" si="32"/>
        <v>0</v>
      </c>
    </row>
    <row r="124" spans="3:29" x14ac:dyDescent="0.2">
      <c r="C124" s="129">
        <v>115</v>
      </c>
      <c r="D124" s="190">
        <f t="shared" si="33"/>
        <v>45406</v>
      </c>
      <c r="E124" s="129">
        <f t="shared" si="21"/>
        <v>4</v>
      </c>
      <c r="F124" s="191">
        <f t="shared" si="22"/>
        <v>45406</v>
      </c>
      <c r="G124" s="129">
        <f t="shared" si="23"/>
        <v>17</v>
      </c>
      <c r="H124" s="129">
        <f t="shared" si="24"/>
        <v>24</v>
      </c>
      <c r="I124" s="129">
        <f t="shared" si="25"/>
        <v>3</v>
      </c>
      <c r="J124" s="192">
        <f t="shared" si="26"/>
        <v>45406</v>
      </c>
      <c r="K124" s="129" t="str" cm="1">
        <f t="array" ref="K124">IF(AND(I124&lt;7,INDEX(B_tblFTMatrix,$E124,$H124)="x"),"ft","")</f>
        <v/>
      </c>
      <c r="L124" s="129"/>
      <c r="M124" s="129"/>
      <c r="N124" s="129">
        <f t="shared" si="17"/>
        <v>1</v>
      </c>
      <c r="O124" s="129">
        <f t="shared" si="27"/>
        <v>1</v>
      </c>
      <c r="P124" s="231">
        <f t="shared" si="18"/>
        <v>8</v>
      </c>
      <c r="Q124" s="233" cm="1">
        <f t="array" ref="Q124">SUMPRODUCT((H_tblBGTage=I124)*(H_tblBGMnt=E124)*H_tblBG%)</f>
        <v>1</v>
      </c>
      <c r="R124" s="231">
        <f t="shared" si="28"/>
        <v>8</v>
      </c>
      <c r="S124" s="237"/>
      <c r="T124" s="237"/>
      <c r="U124" s="236" cm="1">
        <f t="array" ref="U124">SUMPRODUCT((APR!M_Verweiszeile=$H124)*APR!M_ProdTag*(APR!M_Monat=$E124))</f>
        <v>0</v>
      </c>
      <c r="V124" s="236" cm="1">
        <f t="array" ref="V124">SUMPRODUCT((APR!M_Verweiszeile=$H124)*APR!M_ProdN1*(APR!M_Monat=$E124))</f>
        <v>0</v>
      </c>
      <c r="W124" s="236" cm="1">
        <f t="array" ref="W124">SUMPRODUCT((APR!M_Verweiszeile=$H124)*APR!M_ProdN2*(APR!M_Monat=$E124))</f>
        <v>0</v>
      </c>
      <c r="X124" s="236">
        <f t="shared" si="29"/>
        <v>0</v>
      </c>
      <c r="Y124" s="236">
        <f t="shared" si="19"/>
        <v>0</v>
      </c>
      <c r="Z124" s="236">
        <f t="shared" si="20"/>
        <v>0</v>
      </c>
      <c r="AA124" s="236">
        <f t="shared" si="30"/>
        <v>0</v>
      </c>
      <c r="AB124" s="236">
        <f t="shared" si="31"/>
        <v>0</v>
      </c>
      <c r="AC124" s="236">
        <f t="shared" si="32"/>
        <v>0</v>
      </c>
    </row>
    <row r="125" spans="3:29" x14ac:dyDescent="0.2">
      <c r="C125" s="129">
        <v>116</v>
      </c>
      <c r="D125" s="190">
        <f t="shared" si="33"/>
        <v>45407</v>
      </c>
      <c r="E125" s="129">
        <f t="shared" si="21"/>
        <v>4</v>
      </c>
      <c r="F125" s="191">
        <f t="shared" si="22"/>
        <v>45407</v>
      </c>
      <c r="G125" s="129">
        <f t="shared" si="23"/>
        <v>17</v>
      </c>
      <c r="H125" s="129">
        <f t="shared" si="24"/>
        <v>25</v>
      </c>
      <c r="I125" s="129">
        <f t="shared" si="25"/>
        <v>4</v>
      </c>
      <c r="J125" s="192">
        <f t="shared" si="26"/>
        <v>45407</v>
      </c>
      <c r="K125" s="129" t="str" cm="1">
        <f t="array" ref="K125">IF(AND(I125&lt;7,INDEX(B_tblFTMatrix,$E125,$H125)="x"),"ft","")</f>
        <v/>
      </c>
      <c r="L125" s="129"/>
      <c r="M125" s="129"/>
      <c r="N125" s="129">
        <f t="shared" si="17"/>
        <v>1</v>
      </c>
      <c r="O125" s="129">
        <f t="shared" si="27"/>
        <v>1</v>
      </c>
      <c r="P125" s="231">
        <f t="shared" si="18"/>
        <v>8</v>
      </c>
      <c r="Q125" s="233" cm="1">
        <f t="array" ref="Q125">SUMPRODUCT((H_tblBGTage=I125)*(H_tblBGMnt=E125)*H_tblBG%)</f>
        <v>1</v>
      </c>
      <c r="R125" s="231">
        <f t="shared" si="28"/>
        <v>8</v>
      </c>
      <c r="S125" s="237"/>
      <c r="T125" s="237"/>
      <c r="U125" s="236" cm="1">
        <f t="array" ref="U125">SUMPRODUCT((APR!M_Verweiszeile=$H125)*APR!M_ProdTag*(APR!M_Monat=$E125))</f>
        <v>0</v>
      </c>
      <c r="V125" s="236" cm="1">
        <f t="array" ref="V125">SUMPRODUCT((APR!M_Verweiszeile=$H125)*APR!M_ProdN1*(APR!M_Monat=$E125))</f>
        <v>0</v>
      </c>
      <c r="W125" s="236" cm="1">
        <f t="array" ref="W125">SUMPRODUCT((APR!M_Verweiszeile=$H125)*APR!M_ProdN2*(APR!M_Monat=$E125))</f>
        <v>0</v>
      </c>
      <c r="X125" s="236">
        <f t="shared" si="29"/>
        <v>0</v>
      </c>
      <c r="Y125" s="236">
        <f t="shared" si="19"/>
        <v>0</v>
      </c>
      <c r="Z125" s="236">
        <f t="shared" si="20"/>
        <v>0</v>
      </c>
      <c r="AA125" s="236">
        <f t="shared" si="30"/>
        <v>0</v>
      </c>
      <c r="AB125" s="236">
        <f t="shared" si="31"/>
        <v>0</v>
      </c>
      <c r="AC125" s="236">
        <f t="shared" si="32"/>
        <v>0</v>
      </c>
    </row>
    <row r="126" spans="3:29" x14ac:dyDescent="0.2">
      <c r="C126" s="129">
        <v>117</v>
      </c>
      <c r="D126" s="190">
        <f t="shared" si="33"/>
        <v>45408</v>
      </c>
      <c r="E126" s="129">
        <f t="shared" si="21"/>
        <v>4</v>
      </c>
      <c r="F126" s="191">
        <f t="shared" si="22"/>
        <v>45408</v>
      </c>
      <c r="G126" s="129">
        <f t="shared" si="23"/>
        <v>17</v>
      </c>
      <c r="H126" s="129">
        <f t="shared" si="24"/>
        <v>26</v>
      </c>
      <c r="I126" s="129">
        <f t="shared" si="25"/>
        <v>5</v>
      </c>
      <c r="J126" s="192">
        <f t="shared" si="26"/>
        <v>45408</v>
      </c>
      <c r="K126" s="129" t="str" cm="1">
        <f t="array" ref="K126">IF(AND(I126&lt;7,INDEX(B_tblFTMatrix,$E126,$H126)="x"),"ft","")</f>
        <v/>
      </c>
      <c r="L126" s="129"/>
      <c r="M126" s="129"/>
      <c r="N126" s="129">
        <f t="shared" si="17"/>
        <v>1</v>
      </c>
      <c r="O126" s="129">
        <f t="shared" si="27"/>
        <v>1</v>
      </c>
      <c r="P126" s="231">
        <f t="shared" si="18"/>
        <v>8</v>
      </c>
      <c r="Q126" s="233" cm="1">
        <f t="array" ref="Q126">SUMPRODUCT((H_tblBGTage=I126)*(H_tblBGMnt=E126)*H_tblBG%)</f>
        <v>1</v>
      </c>
      <c r="R126" s="231">
        <f t="shared" si="28"/>
        <v>8</v>
      </c>
      <c r="S126" s="237"/>
      <c r="T126" s="237"/>
      <c r="U126" s="236" cm="1">
        <f t="array" ref="U126">SUMPRODUCT((APR!M_Verweiszeile=$H126)*APR!M_ProdTag*(APR!M_Monat=$E126))</f>
        <v>0</v>
      </c>
      <c r="V126" s="236" cm="1">
        <f t="array" ref="V126">SUMPRODUCT((APR!M_Verweiszeile=$H126)*APR!M_ProdN1*(APR!M_Monat=$E126))</f>
        <v>0</v>
      </c>
      <c r="W126" s="236" cm="1">
        <f t="array" ref="W126">SUMPRODUCT((APR!M_Verweiszeile=$H126)*APR!M_ProdN2*(APR!M_Monat=$E126))</f>
        <v>0</v>
      </c>
      <c r="X126" s="236">
        <f t="shared" si="29"/>
        <v>0</v>
      </c>
      <c r="Y126" s="236">
        <f t="shared" si="19"/>
        <v>0</v>
      </c>
      <c r="Z126" s="236">
        <f t="shared" si="20"/>
        <v>0</v>
      </c>
      <c r="AA126" s="236">
        <f t="shared" si="30"/>
        <v>0</v>
      </c>
      <c r="AB126" s="236">
        <f t="shared" si="31"/>
        <v>0</v>
      </c>
      <c r="AC126" s="236">
        <f t="shared" si="32"/>
        <v>0</v>
      </c>
    </row>
    <row r="127" spans="3:29" x14ac:dyDescent="0.2">
      <c r="C127" s="129">
        <v>118</v>
      </c>
      <c r="D127" s="190">
        <f t="shared" si="33"/>
        <v>45409</v>
      </c>
      <c r="E127" s="129">
        <f t="shared" si="21"/>
        <v>4</v>
      </c>
      <c r="F127" s="191">
        <f t="shared" si="22"/>
        <v>45409</v>
      </c>
      <c r="G127" s="129">
        <f t="shared" si="23"/>
        <v>17</v>
      </c>
      <c r="H127" s="129">
        <f t="shared" si="24"/>
        <v>27</v>
      </c>
      <c r="I127" s="129">
        <f t="shared" si="25"/>
        <v>6</v>
      </c>
      <c r="J127" s="192">
        <f t="shared" si="26"/>
        <v>45409</v>
      </c>
      <c r="K127" s="129" t="str" cm="1">
        <f t="array" ref="K127">IF(AND(I127&lt;7,INDEX(B_tblFTMatrix,$E127,$H127)="x"),"ft","")</f>
        <v/>
      </c>
      <c r="L127" s="129"/>
      <c r="M127" s="129"/>
      <c r="N127" s="129">
        <f t="shared" si="17"/>
        <v>0</v>
      </c>
      <c r="O127" s="129">
        <f t="shared" si="27"/>
        <v>0</v>
      </c>
      <c r="P127" s="231">
        <f t="shared" si="18"/>
        <v>0</v>
      </c>
      <c r="Q127" s="233" cm="1">
        <f t="array" ref="Q127">SUMPRODUCT((H_tblBGTage=I127)*(H_tblBGMnt=E127)*H_tblBG%)</f>
        <v>0</v>
      </c>
      <c r="R127" s="231">
        <f t="shared" si="28"/>
        <v>0</v>
      </c>
      <c r="S127" s="237"/>
      <c r="T127" s="237"/>
      <c r="U127" s="236" cm="1">
        <f t="array" ref="U127">SUMPRODUCT((APR!M_Verweiszeile=$H127)*APR!M_ProdTag*(APR!M_Monat=$E127))</f>
        <v>0</v>
      </c>
      <c r="V127" s="236" cm="1">
        <f t="array" ref="V127">SUMPRODUCT((APR!M_Verweiszeile=$H127)*APR!M_ProdN1*(APR!M_Monat=$E127))</f>
        <v>0</v>
      </c>
      <c r="W127" s="236" cm="1">
        <f t="array" ref="W127">SUMPRODUCT((APR!M_Verweiszeile=$H127)*APR!M_ProdN2*(APR!M_Monat=$E127))</f>
        <v>0</v>
      </c>
      <c r="X127" s="236">
        <f t="shared" si="29"/>
        <v>0</v>
      </c>
      <c r="Y127" s="236">
        <f t="shared" si="19"/>
        <v>0</v>
      </c>
      <c r="Z127" s="236">
        <f t="shared" si="20"/>
        <v>0</v>
      </c>
      <c r="AA127" s="236">
        <f t="shared" si="30"/>
        <v>0</v>
      </c>
      <c r="AB127" s="236">
        <f t="shared" si="31"/>
        <v>0</v>
      </c>
      <c r="AC127" s="236">
        <f t="shared" si="32"/>
        <v>0</v>
      </c>
    </row>
    <row r="128" spans="3:29" x14ac:dyDescent="0.2">
      <c r="C128" s="129">
        <v>119</v>
      </c>
      <c r="D128" s="190">
        <f t="shared" si="33"/>
        <v>45410</v>
      </c>
      <c r="E128" s="129">
        <f t="shared" si="21"/>
        <v>4</v>
      </c>
      <c r="F128" s="191">
        <f t="shared" si="22"/>
        <v>45410</v>
      </c>
      <c r="G128" s="129">
        <f t="shared" si="23"/>
        <v>17</v>
      </c>
      <c r="H128" s="129">
        <f t="shared" si="24"/>
        <v>28</v>
      </c>
      <c r="I128" s="129">
        <f t="shared" si="25"/>
        <v>7</v>
      </c>
      <c r="J128" s="192">
        <f t="shared" si="26"/>
        <v>45410</v>
      </c>
      <c r="K128" s="129" t="str" cm="1">
        <f t="array" ref="K128">IF(AND(I128&lt;7,INDEX(B_tblFTMatrix,$E128,$H128)="x"),"ft","")</f>
        <v/>
      </c>
      <c r="L128" s="129"/>
      <c r="M128" s="129"/>
      <c r="N128" s="129">
        <f t="shared" si="17"/>
        <v>0</v>
      </c>
      <c r="O128" s="129">
        <f t="shared" si="27"/>
        <v>0</v>
      </c>
      <c r="P128" s="231">
        <f t="shared" si="18"/>
        <v>0</v>
      </c>
      <c r="Q128" s="233" cm="1">
        <f t="array" ref="Q128">SUMPRODUCT((H_tblBGTage=I128)*(H_tblBGMnt=E128)*H_tblBG%)</f>
        <v>0</v>
      </c>
      <c r="R128" s="231">
        <f t="shared" si="28"/>
        <v>0</v>
      </c>
      <c r="S128" s="237"/>
      <c r="T128" s="237"/>
      <c r="U128" s="236" cm="1">
        <f t="array" ref="U128">SUMPRODUCT((APR!M_Verweiszeile=$H128)*APR!M_ProdTag*(APR!M_Monat=$E128))</f>
        <v>0</v>
      </c>
      <c r="V128" s="236" cm="1">
        <f t="array" ref="V128">SUMPRODUCT((APR!M_Verweiszeile=$H128)*APR!M_ProdN1*(APR!M_Monat=$E128))</f>
        <v>0</v>
      </c>
      <c r="W128" s="236" cm="1">
        <f t="array" ref="W128">SUMPRODUCT((APR!M_Verweiszeile=$H128)*APR!M_ProdN2*(APR!M_Monat=$E128))</f>
        <v>0</v>
      </c>
      <c r="X128" s="236">
        <f t="shared" si="29"/>
        <v>0</v>
      </c>
      <c r="Y128" s="236">
        <f t="shared" si="19"/>
        <v>0</v>
      </c>
      <c r="Z128" s="236">
        <f t="shared" si="20"/>
        <v>0</v>
      </c>
      <c r="AA128" s="236">
        <f t="shared" si="30"/>
        <v>0</v>
      </c>
      <c r="AB128" s="236">
        <f t="shared" si="31"/>
        <v>0</v>
      </c>
      <c r="AC128" s="236">
        <f t="shared" si="32"/>
        <v>0</v>
      </c>
    </row>
    <row r="129" spans="3:29" s="189" customFormat="1" x14ac:dyDescent="0.2">
      <c r="C129" s="129">
        <v>120</v>
      </c>
      <c r="D129" s="190">
        <f t="shared" si="33"/>
        <v>45411</v>
      </c>
      <c r="E129" s="129">
        <f t="shared" si="21"/>
        <v>4</v>
      </c>
      <c r="F129" s="191">
        <f t="shared" si="22"/>
        <v>45411</v>
      </c>
      <c r="G129" s="129">
        <f t="shared" si="23"/>
        <v>18</v>
      </c>
      <c r="H129" s="129">
        <f t="shared" si="24"/>
        <v>29</v>
      </c>
      <c r="I129" s="129">
        <f t="shared" si="25"/>
        <v>1</v>
      </c>
      <c r="J129" s="192">
        <f t="shared" si="26"/>
        <v>45411</v>
      </c>
      <c r="K129" s="129" t="str" cm="1">
        <f t="array" ref="K129">IF(AND(I129&lt;7,INDEX(B_tblFTMatrix,$E129,$H129)="x"),"ft","")</f>
        <v/>
      </c>
      <c r="L129" s="129"/>
      <c r="M129" s="129"/>
      <c r="N129" s="129">
        <f t="shared" si="17"/>
        <v>1</v>
      </c>
      <c r="O129" s="129">
        <f t="shared" si="27"/>
        <v>1</v>
      </c>
      <c r="P129" s="231">
        <f t="shared" si="18"/>
        <v>8</v>
      </c>
      <c r="Q129" s="233" cm="1">
        <f t="array" ref="Q129">SUMPRODUCT((H_tblBGTage=I129)*(H_tblBGMnt=E129)*H_tblBG%)</f>
        <v>1</v>
      </c>
      <c r="R129" s="231">
        <f t="shared" si="28"/>
        <v>8</v>
      </c>
      <c r="S129" s="237"/>
      <c r="T129" s="237"/>
      <c r="U129" s="236" cm="1">
        <f t="array" ref="U129">SUMPRODUCT((APR!M_Verweiszeile=$H129)*APR!M_ProdTag*(APR!M_Monat=$E129))</f>
        <v>0</v>
      </c>
      <c r="V129" s="236" cm="1">
        <f t="array" ref="V129">SUMPRODUCT((APR!M_Verweiszeile=$H129)*APR!M_ProdN1*(APR!M_Monat=$E129))</f>
        <v>0</v>
      </c>
      <c r="W129" s="236" cm="1">
        <f t="array" ref="W129">SUMPRODUCT((APR!M_Verweiszeile=$H129)*APR!M_ProdN2*(APR!M_Monat=$E129))</f>
        <v>0</v>
      </c>
      <c r="X129" s="236">
        <f t="shared" si="29"/>
        <v>0</v>
      </c>
      <c r="Y129" s="236">
        <f t="shared" si="19"/>
        <v>0</v>
      </c>
      <c r="Z129" s="236">
        <f t="shared" si="20"/>
        <v>0</v>
      </c>
      <c r="AA129" s="236">
        <f t="shared" si="30"/>
        <v>0</v>
      </c>
      <c r="AB129" s="236">
        <f t="shared" si="31"/>
        <v>0</v>
      </c>
      <c r="AC129" s="236">
        <f t="shared" si="32"/>
        <v>0</v>
      </c>
    </row>
    <row r="130" spans="3:29" s="189" customFormat="1" x14ac:dyDescent="0.2">
      <c r="C130" s="129">
        <v>121</v>
      </c>
      <c r="D130" s="190">
        <f t="shared" si="33"/>
        <v>45412</v>
      </c>
      <c r="E130" s="129">
        <f t="shared" si="21"/>
        <v>4</v>
      </c>
      <c r="F130" s="191">
        <f t="shared" si="22"/>
        <v>45412</v>
      </c>
      <c r="G130" s="129">
        <f t="shared" si="23"/>
        <v>18</v>
      </c>
      <c r="H130" s="129">
        <f t="shared" si="24"/>
        <v>30</v>
      </c>
      <c r="I130" s="129">
        <f t="shared" si="25"/>
        <v>2</v>
      </c>
      <c r="J130" s="192">
        <f t="shared" si="26"/>
        <v>45412</v>
      </c>
      <c r="K130" s="129" t="str" cm="1">
        <f t="array" ref="K130">IF(AND(I130&lt;7,INDEX(B_tblFTMatrix,$E130,$H130)="x"),"ft","")</f>
        <v/>
      </c>
      <c r="L130" s="129"/>
      <c r="M130" s="129"/>
      <c r="N130" s="129">
        <f t="shared" si="17"/>
        <v>1</v>
      </c>
      <c r="O130" s="129">
        <f t="shared" si="27"/>
        <v>1</v>
      </c>
      <c r="P130" s="231">
        <f t="shared" si="18"/>
        <v>8</v>
      </c>
      <c r="Q130" s="233" cm="1">
        <f t="array" ref="Q130">SUMPRODUCT((H_tblBGTage=I130)*(H_tblBGMnt=E130)*H_tblBG%)</f>
        <v>1</v>
      </c>
      <c r="R130" s="231">
        <f t="shared" si="28"/>
        <v>8</v>
      </c>
      <c r="S130" s="237"/>
      <c r="T130" s="237"/>
      <c r="U130" s="319" cm="1">
        <f t="array" ref="U130">SUMPRODUCT((APR!M_Verweiszeile=$H130)*APR!M_ProdTag*(APR!M_Monat=$E130))+SUMPRODUCT((MAI!M_Verweiszeile=$H130)*MAI!M_ProdTag*(MAI!M_Monat=$E130))</f>
        <v>0</v>
      </c>
      <c r="V130" s="236" cm="1">
        <f t="array" ref="V130">SUMPRODUCT((APR!M_Verweiszeile=$H130)*APR!M_ProdN1*(APR!M_Monat=$E130))+SUMPRODUCT((MAI!M_Verweiszeile=$H130)*MAI!M_ProdN1*(MAI!M_Monat=$E130))</f>
        <v>0</v>
      </c>
      <c r="W130" s="236" cm="1">
        <f t="array" ref="W130">SUMPRODUCT((APR!M_Verweiszeile=$H130)*APR!M_ProdN2*(APR!M_Monat=$E130))+SUMPRODUCT((MAI!M_Verweiszeile=$H130)*MAI!M_ProdN2*(MAI!M_Monat=$E130))</f>
        <v>0</v>
      </c>
      <c r="X130" s="236">
        <f t="shared" si="29"/>
        <v>0</v>
      </c>
      <c r="Y130" s="236">
        <f t="shared" si="19"/>
        <v>0</v>
      </c>
      <c r="Z130" s="236">
        <f t="shared" si="20"/>
        <v>0</v>
      </c>
      <c r="AA130" s="236">
        <f t="shared" si="30"/>
        <v>0</v>
      </c>
      <c r="AB130" s="236">
        <f t="shared" si="31"/>
        <v>0</v>
      </c>
      <c r="AC130" s="236">
        <f t="shared" si="32"/>
        <v>0</v>
      </c>
    </row>
    <row r="131" spans="3:29" s="189" customFormat="1" x14ac:dyDescent="0.2">
      <c r="C131" s="129">
        <v>122</v>
      </c>
      <c r="D131" s="190">
        <f t="shared" si="33"/>
        <v>45413</v>
      </c>
      <c r="E131" s="129">
        <f t="shared" si="21"/>
        <v>5</v>
      </c>
      <c r="F131" s="191">
        <f t="shared" si="22"/>
        <v>45413</v>
      </c>
      <c r="G131" s="129">
        <f t="shared" si="23"/>
        <v>18</v>
      </c>
      <c r="H131" s="129">
        <f t="shared" si="24"/>
        <v>1</v>
      </c>
      <c r="I131" s="129">
        <f t="shared" si="25"/>
        <v>3</v>
      </c>
      <c r="J131" s="192">
        <f t="shared" si="26"/>
        <v>45413</v>
      </c>
      <c r="K131" s="129" t="str" cm="1">
        <f t="array" ref="K131">IF(AND(I131&lt;7,INDEX(B_tblFTMatrix,$E131,$H131)="x"),"ft","")</f>
        <v/>
      </c>
      <c r="L131" s="129"/>
      <c r="M131" s="129"/>
      <c r="N131" s="129">
        <f t="shared" si="17"/>
        <v>1</v>
      </c>
      <c r="O131" s="129">
        <f t="shared" si="27"/>
        <v>1</v>
      </c>
      <c r="P131" s="231">
        <f t="shared" si="18"/>
        <v>8</v>
      </c>
      <c r="Q131" s="233" cm="1">
        <f t="array" ref="Q131">SUMPRODUCT((H_tblBGTage=I131)*(H_tblBGMnt=E131)*H_tblBG%)</f>
        <v>1</v>
      </c>
      <c r="R131" s="231">
        <f t="shared" si="28"/>
        <v>8</v>
      </c>
      <c r="S131" s="237"/>
      <c r="T131" s="237"/>
      <c r="U131" s="319" cm="1">
        <f t="array" ref="U131">SUMPRODUCT((MAI!M_Verweiszeile=$H131)*MAI!M_ProdTag*(MAI!M_Monat=$E131))</f>
        <v>0</v>
      </c>
      <c r="V131" s="236" cm="1">
        <f t="array" ref="V131">SUMPRODUCT((MAI!M_Verweiszeile=$H131)*MAI!M_ProdN1*(MAI!M_Monat=$E131))</f>
        <v>0</v>
      </c>
      <c r="W131" s="236" cm="1">
        <f t="array" ref="W131">SUMPRODUCT((MAI!M_Verweiszeile=$H131)*MAI!M_ProdN2*(MAI!M_Monat=$E131))</f>
        <v>0</v>
      </c>
      <c r="X131" s="236">
        <f t="shared" si="29"/>
        <v>0</v>
      </c>
      <c r="Y131" s="236">
        <f t="shared" si="19"/>
        <v>0</v>
      </c>
      <c r="Z131" s="236">
        <f t="shared" si="20"/>
        <v>0</v>
      </c>
      <c r="AA131" s="236">
        <f t="shared" si="30"/>
        <v>0</v>
      </c>
      <c r="AB131" s="236">
        <f t="shared" si="31"/>
        <v>0</v>
      </c>
      <c r="AC131" s="236">
        <f t="shared" si="32"/>
        <v>0</v>
      </c>
    </row>
    <row r="132" spans="3:29" s="189" customFormat="1" x14ac:dyDescent="0.2">
      <c r="C132" s="129">
        <v>123</v>
      </c>
      <c r="D132" s="190">
        <f t="shared" si="33"/>
        <v>45414</v>
      </c>
      <c r="E132" s="129">
        <f t="shared" si="21"/>
        <v>5</v>
      </c>
      <c r="F132" s="191">
        <f t="shared" si="22"/>
        <v>45414</v>
      </c>
      <c r="G132" s="129">
        <f t="shared" si="23"/>
        <v>18</v>
      </c>
      <c r="H132" s="129">
        <f t="shared" si="24"/>
        <v>2</v>
      </c>
      <c r="I132" s="129">
        <f t="shared" si="25"/>
        <v>4</v>
      </c>
      <c r="J132" s="192">
        <f t="shared" si="26"/>
        <v>45414</v>
      </c>
      <c r="K132" s="129" t="str" cm="1">
        <f t="array" ref="K132">IF(AND(I132&lt;7,INDEX(B_tblFTMatrix,$E132,$H132)="x"),"ft","")</f>
        <v/>
      </c>
      <c r="L132" s="129"/>
      <c r="M132" s="129"/>
      <c r="N132" s="129">
        <f t="shared" si="17"/>
        <v>1</v>
      </c>
      <c r="O132" s="129">
        <f t="shared" si="27"/>
        <v>1</v>
      </c>
      <c r="P132" s="231">
        <f t="shared" si="18"/>
        <v>8</v>
      </c>
      <c r="Q132" s="233" cm="1">
        <f t="array" ref="Q132">SUMPRODUCT((H_tblBGTage=I132)*(H_tblBGMnt=E132)*H_tblBG%)</f>
        <v>1</v>
      </c>
      <c r="R132" s="231">
        <f t="shared" si="28"/>
        <v>8</v>
      </c>
      <c r="S132" s="237"/>
      <c r="T132" s="237"/>
      <c r="U132" s="236" cm="1">
        <f t="array" ref="U132">SUMPRODUCT((MAI!M_Verweiszeile=$H132)*MAI!M_ProdTag*(MAI!M_Monat=$E132))</f>
        <v>0</v>
      </c>
      <c r="V132" s="236" cm="1">
        <f t="array" ref="V132">SUMPRODUCT((MAI!M_Verweiszeile=$H132)*MAI!M_ProdN1*(MAI!M_Monat=$E132))</f>
        <v>0</v>
      </c>
      <c r="W132" s="236" cm="1">
        <f t="array" ref="W132">SUMPRODUCT((MAI!M_Verweiszeile=$H132)*MAI!M_ProdN2*(MAI!M_Monat=$E132))</f>
        <v>0</v>
      </c>
      <c r="X132" s="236">
        <f t="shared" si="29"/>
        <v>0</v>
      </c>
      <c r="Y132" s="236">
        <f t="shared" si="19"/>
        <v>0</v>
      </c>
      <c r="Z132" s="236">
        <f t="shared" si="20"/>
        <v>0</v>
      </c>
      <c r="AA132" s="236">
        <f t="shared" si="30"/>
        <v>0</v>
      </c>
      <c r="AB132" s="236">
        <f t="shared" si="31"/>
        <v>0</v>
      </c>
      <c r="AC132" s="236">
        <f t="shared" si="32"/>
        <v>0</v>
      </c>
    </row>
    <row r="133" spans="3:29" s="189" customFormat="1" x14ac:dyDescent="0.2">
      <c r="C133" s="129">
        <v>124</v>
      </c>
      <c r="D133" s="190">
        <f t="shared" si="33"/>
        <v>45415</v>
      </c>
      <c r="E133" s="129">
        <f t="shared" si="21"/>
        <v>5</v>
      </c>
      <c r="F133" s="191">
        <f t="shared" si="22"/>
        <v>45415</v>
      </c>
      <c r="G133" s="129">
        <f t="shared" si="23"/>
        <v>18</v>
      </c>
      <c r="H133" s="129">
        <f t="shared" si="24"/>
        <v>3</v>
      </c>
      <c r="I133" s="129">
        <f t="shared" si="25"/>
        <v>5</v>
      </c>
      <c r="J133" s="192">
        <f t="shared" si="26"/>
        <v>45415</v>
      </c>
      <c r="K133" s="129" t="str" cm="1">
        <f t="array" ref="K133">IF(AND(I133&lt;7,INDEX(B_tblFTMatrix,$E133,$H133)="x"),"ft","")</f>
        <v/>
      </c>
      <c r="L133" s="129"/>
      <c r="M133" s="129"/>
      <c r="N133" s="129">
        <f t="shared" si="17"/>
        <v>1</v>
      </c>
      <c r="O133" s="129">
        <f t="shared" si="27"/>
        <v>1</v>
      </c>
      <c r="P133" s="231">
        <f t="shared" si="18"/>
        <v>8</v>
      </c>
      <c r="Q133" s="233" cm="1">
        <f t="array" ref="Q133">SUMPRODUCT((H_tblBGTage=I133)*(H_tblBGMnt=E133)*H_tblBG%)</f>
        <v>1</v>
      </c>
      <c r="R133" s="231">
        <f t="shared" si="28"/>
        <v>8</v>
      </c>
      <c r="S133" s="237"/>
      <c r="T133" s="237"/>
      <c r="U133" s="236" cm="1">
        <f t="array" ref="U133">SUMPRODUCT((MAI!M_Verweiszeile=$H133)*MAI!M_ProdTag*(MAI!M_Monat=$E133))</f>
        <v>0</v>
      </c>
      <c r="V133" s="236" cm="1">
        <f t="array" ref="V133">SUMPRODUCT((MAI!M_Verweiszeile=$H133)*MAI!M_ProdN1*(MAI!M_Monat=$E133))</f>
        <v>0</v>
      </c>
      <c r="W133" s="236" cm="1">
        <f t="array" ref="W133">SUMPRODUCT((MAI!M_Verweiszeile=$H133)*MAI!M_ProdN2*(MAI!M_Monat=$E133))</f>
        <v>0</v>
      </c>
      <c r="X133" s="236">
        <f t="shared" si="29"/>
        <v>0</v>
      </c>
      <c r="Y133" s="236">
        <f t="shared" si="19"/>
        <v>0</v>
      </c>
      <c r="Z133" s="236">
        <f t="shared" si="20"/>
        <v>0</v>
      </c>
      <c r="AA133" s="236">
        <f t="shared" si="30"/>
        <v>0</v>
      </c>
      <c r="AB133" s="236">
        <f t="shared" si="31"/>
        <v>0</v>
      </c>
      <c r="AC133" s="236">
        <f t="shared" si="32"/>
        <v>0</v>
      </c>
    </row>
    <row r="134" spans="3:29" s="189" customFormat="1" x14ac:dyDescent="0.2">
      <c r="C134" s="129">
        <v>125</v>
      </c>
      <c r="D134" s="190">
        <f t="shared" si="33"/>
        <v>45416</v>
      </c>
      <c r="E134" s="129">
        <f t="shared" si="21"/>
        <v>5</v>
      </c>
      <c r="F134" s="191">
        <f t="shared" si="22"/>
        <v>45416</v>
      </c>
      <c r="G134" s="129">
        <f t="shared" si="23"/>
        <v>18</v>
      </c>
      <c r="H134" s="129">
        <f t="shared" si="24"/>
        <v>4</v>
      </c>
      <c r="I134" s="129">
        <f t="shared" si="25"/>
        <v>6</v>
      </c>
      <c r="J134" s="192">
        <f t="shared" si="26"/>
        <v>45416</v>
      </c>
      <c r="K134" s="129" t="str" cm="1">
        <f t="array" ref="K134">IF(AND(I134&lt;7,INDEX(B_tblFTMatrix,$E134,$H134)="x"),"ft","")</f>
        <v/>
      </c>
      <c r="L134" s="129"/>
      <c r="M134" s="129"/>
      <c r="N134" s="129">
        <f t="shared" si="17"/>
        <v>0</v>
      </c>
      <c r="O134" s="129">
        <f t="shared" si="27"/>
        <v>0</v>
      </c>
      <c r="P134" s="231">
        <f t="shared" si="18"/>
        <v>0</v>
      </c>
      <c r="Q134" s="233" cm="1">
        <f t="array" ref="Q134">SUMPRODUCT((H_tblBGTage=I134)*(H_tblBGMnt=E134)*H_tblBG%)</f>
        <v>0</v>
      </c>
      <c r="R134" s="231">
        <f t="shared" si="28"/>
        <v>0</v>
      </c>
      <c r="S134" s="237"/>
      <c r="T134" s="237"/>
      <c r="U134" s="236" cm="1">
        <f t="array" ref="U134">SUMPRODUCT((MAI!M_Verweiszeile=$H134)*MAI!M_ProdTag*(MAI!M_Monat=$E134))</f>
        <v>0</v>
      </c>
      <c r="V134" s="236" cm="1">
        <f t="array" ref="V134">SUMPRODUCT((MAI!M_Verweiszeile=$H134)*MAI!M_ProdN1*(MAI!M_Monat=$E134))</f>
        <v>0</v>
      </c>
      <c r="W134" s="236" cm="1">
        <f t="array" ref="W134">SUMPRODUCT((MAI!M_Verweiszeile=$H134)*MAI!M_ProdN2*(MAI!M_Monat=$E134))</f>
        <v>0</v>
      </c>
      <c r="X134" s="236">
        <f t="shared" si="29"/>
        <v>0</v>
      </c>
      <c r="Y134" s="236">
        <f t="shared" si="19"/>
        <v>0</v>
      </c>
      <c r="Z134" s="236">
        <f t="shared" si="20"/>
        <v>0</v>
      </c>
      <c r="AA134" s="236">
        <f t="shared" si="30"/>
        <v>0</v>
      </c>
      <c r="AB134" s="236">
        <f t="shared" si="31"/>
        <v>0</v>
      </c>
      <c r="AC134" s="236">
        <f t="shared" si="32"/>
        <v>0</v>
      </c>
    </row>
    <row r="135" spans="3:29" s="189" customFormat="1" x14ac:dyDescent="0.2">
      <c r="C135" s="129">
        <v>126</v>
      </c>
      <c r="D135" s="190">
        <f t="shared" si="33"/>
        <v>45417</v>
      </c>
      <c r="E135" s="129">
        <f t="shared" si="21"/>
        <v>5</v>
      </c>
      <c r="F135" s="191">
        <f t="shared" si="22"/>
        <v>45417</v>
      </c>
      <c r="G135" s="129">
        <f t="shared" si="23"/>
        <v>18</v>
      </c>
      <c r="H135" s="129">
        <f t="shared" si="24"/>
        <v>5</v>
      </c>
      <c r="I135" s="129">
        <f t="shared" si="25"/>
        <v>7</v>
      </c>
      <c r="J135" s="192">
        <f t="shared" si="26"/>
        <v>45417</v>
      </c>
      <c r="K135" s="129" t="str" cm="1">
        <f t="array" ref="K135">IF(AND(I135&lt;7,INDEX(B_tblFTMatrix,$E135,$H135)="x"),"ft","")</f>
        <v/>
      </c>
      <c r="L135" s="129"/>
      <c r="M135" s="129"/>
      <c r="N135" s="129">
        <f t="shared" si="17"/>
        <v>0</v>
      </c>
      <c r="O135" s="129">
        <f t="shared" si="27"/>
        <v>0</v>
      </c>
      <c r="P135" s="231">
        <f t="shared" si="18"/>
        <v>0</v>
      </c>
      <c r="Q135" s="233" cm="1">
        <f t="array" ref="Q135">SUMPRODUCT((H_tblBGTage=I135)*(H_tblBGMnt=E135)*H_tblBG%)</f>
        <v>0</v>
      </c>
      <c r="R135" s="231">
        <f t="shared" si="28"/>
        <v>0</v>
      </c>
      <c r="S135" s="237"/>
      <c r="T135" s="237"/>
      <c r="U135" s="236" cm="1">
        <f t="array" ref="U135">SUMPRODUCT((MAI!M_Verweiszeile=$H135)*MAI!M_ProdTag*(MAI!M_Monat=$E135))</f>
        <v>0</v>
      </c>
      <c r="V135" s="236" cm="1">
        <f t="array" ref="V135">SUMPRODUCT((MAI!M_Verweiszeile=$H135)*MAI!M_ProdN1*(MAI!M_Monat=$E135))</f>
        <v>0</v>
      </c>
      <c r="W135" s="236" cm="1">
        <f t="array" ref="W135">SUMPRODUCT((MAI!M_Verweiszeile=$H135)*MAI!M_ProdN2*(MAI!M_Monat=$E135))</f>
        <v>0</v>
      </c>
      <c r="X135" s="236">
        <f t="shared" si="29"/>
        <v>0</v>
      </c>
      <c r="Y135" s="236">
        <f t="shared" si="19"/>
        <v>0</v>
      </c>
      <c r="Z135" s="236">
        <f t="shared" si="20"/>
        <v>0</v>
      </c>
      <c r="AA135" s="236">
        <f t="shared" si="30"/>
        <v>0</v>
      </c>
      <c r="AB135" s="236">
        <f t="shared" si="31"/>
        <v>0</v>
      </c>
      <c r="AC135" s="236">
        <f t="shared" si="32"/>
        <v>0</v>
      </c>
    </row>
    <row r="136" spans="3:29" s="189" customFormat="1" x14ac:dyDescent="0.2">
      <c r="C136" s="129">
        <v>127</v>
      </c>
      <c r="D136" s="190">
        <f t="shared" si="33"/>
        <v>45418</v>
      </c>
      <c r="E136" s="129">
        <f t="shared" si="21"/>
        <v>5</v>
      </c>
      <c r="F136" s="191">
        <f t="shared" si="22"/>
        <v>45418</v>
      </c>
      <c r="G136" s="129">
        <f t="shared" si="23"/>
        <v>19</v>
      </c>
      <c r="H136" s="129">
        <f t="shared" si="24"/>
        <v>6</v>
      </c>
      <c r="I136" s="129">
        <f t="shared" si="25"/>
        <v>1</v>
      </c>
      <c r="J136" s="192">
        <f t="shared" si="26"/>
        <v>45418</v>
      </c>
      <c r="K136" s="129" t="str" cm="1">
        <f t="array" ref="K136">IF(AND(I136&lt;7,INDEX(B_tblFTMatrix,$E136,$H136)="x"),"ft","")</f>
        <v/>
      </c>
      <c r="L136" s="129"/>
      <c r="M136" s="129"/>
      <c r="N136" s="129">
        <f t="shared" si="17"/>
        <v>1</v>
      </c>
      <c r="O136" s="129">
        <f t="shared" si="27"/>
        <v>1</v>
      </c>
      <c r="P136" s="231">
        <f t="shared" si="18"/>
        <v>8</v>
      </c>
      <c r="Q136" s="233" cm="1">
        <f t="array" ref="Q136">SUMPRODUCT((H_tblBGTage=I136)*(H_tblBGMnt=E136)*H_tblBG%)</f>
        <v>1</v>
      </c>
      <c r="R136" s="231">
        <f t="shared" si="28"/>
        <v>8</v>
      </c>
      <c r="S136" s="237"/>
      <c r="T136" s="237"/>
      <c r="U136" s="236" cm="1">
        <f t="array" ref="U136">SUMPRODUCT((MAI!M_Verweiszeile=$H136)*MAI!M_ProdTag*(MAI!M_Monat=$E136))</f>
        <v>0</v>
      </c>
      <c r="V136" s="236" cm="1">
        <f t="array" ref="V136">SUMPRODUCT((MAI!M_Verweiszeile=$H136)*MAI!M_ProdN1*(MAI!M_Monat=$E136))</f>
        <v>0</v>
      </c>
      <c r="W136" s="236" cm="1">
        <f t="array" ref="W136">SUMPRODUCT((MAI!M_Verweiszeile=$H136)*MAI!M_ProdN2*(MAI!M_Monat=$E136))</f>
        <v>0</v>
      </c>
      <c r="X136" s="236">
        <f t="shared" si="29"/>
        <v>0</v>
      </c>
      <c r="Y136" s="236">
        <f t="shared" si="19"/>
        <v>0</v>
      </c>
      <c r="Z136" s="236">
        <f t="shared" si="20"/>
        <v>0</v>
      </c>
      <c r="AA136" s="236">
        <f t="shared" si="30"/>
        <v>0</v>
      </c>
      <c r="AB136" s="236">
        <f t="shared" si="31"/>
        <v>0</v>
      </c>
      <c r="AC136" s="236">
        <f t="shared" si="32"/>
        <v>0</v>
      </c>
    </row>
    <row r="137" spans="3:29" s="189" customFormat="1" x14ac:dyDescent="0.2">
      <c r="C137" s="129">
        <v>128</v>
      </c>
      <c r="D137" s="190">
        <f t="shared" si="33"/>
        <v>45419</v>
      </c>
      <c r="E137" s="129">
        <f t="shared" si="21"/>
        <v>5</v>
      </c>
      <c r="F137" s="191">
        <f t="shared" si="22"/>
        <v>45419</v>
      </c>
      <c r="G137" s="129">
        <f t="shared" si="23"/>
        <v>19</v>
      </c>
      <c r="H137" s="129">
        <f t="shared" si="24"/>
        <v>7</v>
      </c>
      <c r="I137" s="129">
        <f t="shared" si="25"/>
        <v>2</v>
      </c>
      <c r="J137" s="192">
        <f t="shared" si="26"/>
        <v>45419</v>
      </c>
      <c r="K137" s="129" t="str" cm="1">
        <f t="array" ref="K137">IF(AND(I137&lt;7,INDEX(B_tblFTMatrix,$E137,$H137)="x"),"ft","")</f>
        <v/>
      </c>
      <c r="L137" s="129"/>
      <c r="M137" s="129"/>
      <c r="N137" s="129">
        <f t="shared" si="17"/>
        <v>1</v>
      </c>
      <c r="O137" s="129">
        <f t="shared" si="27"/>
        <v>1</v>
      </c>
      <c r="P137" s="231">
        <f t="shared" si="18"/>
        <v>8</v>
      </c>
      <c r="Q137" s="233" cm="1">
        <f t="array" ref="Q137">SUMPRODUCT((H_tblBGTage=I137)*(H_tblBGMnt=E137)*H_tblBG%)</f>
        <v>1</v>
      </c>
      <c r="R137" s="231">
        <f t="shared" si="28"/>
        <v>8</v>
      </c>
      <c r="S137" s="237"/>
      <c r="T137" s="237"/>
      <c r="U137" s="236" cm="1">
        <f t="array" ref="U137">SUMPRODUCT((MAI!M_Verweiszeile=$H137)*MAI!M_ProdTag*(MAI!M_Monat=$E137))</f>
        <v>0</v>
      </c>
      <c r="V137" s="236" cm="1">
        <f t="array" ref="V137">SUMPRODUCT((MAI!M_Verweiszeile=$H137)*MAI!M_ProdN1*(MAI!M_Monat=$E137))</f>
        <v>0</v>
      </c>
      <c r="W137" s="236" cm="1">
        <f t="array" ref="W137">SUMPRODUCT((MAI!M_Verweiszeile=$H137)*MAI!M_ProdN2*(MAI!M_Monat=$E137))</f>
        <v>0</v>
      </c>
      <c r="X137" s="236">
        <f t="shared" si="29"/>
        <v>0</v>
      </c>
      <c r="Y137" s="236">
        <f t="shared" si="19"/>
        <v>0</v>
      </c>
      <c r="Z137" s="236">
        <f t="shared" si="20"/>
        <v>0</v>
      </c>
      <c r="AA137" s="236">
        <f t="shared" si="30"/>
        <v>0</v>
      </c>
      <c r="AB137" s="236">
        <f t="shared" si="31"/>
        <v>0</v>
      </c>
      <c r="AC137" s="236">
        <f t="shared" si="32"/>
        <v>0</v>
      </c>
    </row>
    <row r="138" spans="3:29" s="189" customFormat="1" x14ac:dyDescent="0.2">
      <c r="C138" s="129">
        <v>129</v>
      </c>
      <c r="D138" s="190">
        <f t="shared" si="33"/>
        <v>45420</v>
      </c>
      <c r="E138" s="129">
        <f t="shared" si="21"/>
        <v>5</v>
      </c>
      <c r="F138" s="191">
        <f t="shared" si="22"/>
        <v>45420</v>
      </c>
      <c r="G138" s="129">
        <f t="shared" si="23"/>
        <v>19</v>
      </c>
      <c r="H138" s="129">
        <f t="shared" si="24"/>
        <v>8</v>
      </c>
      <c r="I138" s="129">
        <f t="shared" si="25"/>
        <v>3</v>
      </c>
      <c r="J138" s="192">
        <f t="shared" si="26"/>
        <v>45420</v>
      </c>
      <c r="K138" s="129" t="str" cm="1">
        <f t="array" ref="K138">IF(AND(I138&lt;7,INDEX(B_tblFTMatrix,$E138,$H138)="x"),"ft","")</f>
        <v/>
      </c>
      <c r="L138" s="129"/>
      <c r="M138" s="129"/>
      <c r="N138" s="129">
        <f t="shared" ref="N138:N201" si="34">IF(I138&lt;6,1,0)</f>
        <v>1</v>
      </c>
      <c r="O138" s="129">
        <f t="shared" si="27"/>
        <v>1</v>
      </c>
      <c r="P138" s="231">
        <f t="shared" ref="P138:P201" si="35">IFERROR($E$3*N138,0)</f>
        <v>8</v>
      </c>
      <c r="Q138" s="233" cm="1">
        <f t="array" ref="Q138">SUMPRODUCT((H_tblBGTage=I138)*(H_tblBGMnt=E138)*H_tblBG%)</f>
        <v>1</v>
      </c>
      <c r="R138" s="231">
        <f t="shared" si="28"/>
        <v>8</v>
      </c>
      <c r="S138" s="237"/>
      <c r="T138" s="237"/>
      <c r="U138" s="236" cm="1">
        <f t="array" ref="U138">SUMPRODUCT((MAI!M_Verweiszeile=$H138)*MAI!M_ProdTag*(MAI!M_Monat=$E138))</f>
        <v>0</v>
      </c>
      <c r="V138" s="236" cm="1">
        <f t="array" ref="V138">SUMPRODUCT((MAI!M_Verweiszeile=$H138)*MAI!M_ProdN1*(MAI!M_Monat=$E138))</f>
        <v>0</v>
      </c>
      <c r="W138" s="236" cm="1">
        <f t="array" ref="W138">SUMPRODUCT((MAI!M_Verweiszeile=$H138)*MAI!M_ProdN2*(MAI!M_Monat=$E138))</f>
        <v>0</v>
      </c>
      <c r="X138" s="236">
        <f t="shared" si="29"/>
        <v>0</v>
      </c>
      <c r="Y138" s="236">
        <f t="shared" ref="Y138:Y201" si="36">IFERROR(IF($K138="ft",R138,0),0)</f>
        <v>0</v>
      </c>
      <c r="Z138" s="236">
        <f t="shared" ref="Z138:Z201" si="37">SUM(V138:W138)*A_fldZ2</f>
        <v>0</v>
      </c>
      <c r="AA138" s="236">
        <f t="shared" si="30"/>
        <v>0</v>
      </c>
      <c r="AB138" s="236">
        <f t="shared" si="31"/>
        <v>0</v>
      </c>
      <c r="AC138" s="236">
        <f t="shared" si="32"/>
        <v>0</v>
      </c>
    </row>
    <row r="139" spans="3:29" s="189" customFormat="1" x14ac:dyDescent="0.2">
      <c r="C139" s="129">
        <v>130</v>
      </c>
      <c r="D139" s="190">
        <f t="shared" si="33"/>
        <v>45421</v>
      </c>
      <c r="E139" s="129">
        <f t="shared" ref="E139:E202" si="38">MONTH(D139)</f>
        <v>5</v>
      </c>
      <c r="F139" s="191">
        <f t="shared" ref="F139:F202" si="39">D139</f>
        <v>45421</v>
      </c>
      <c r="G139" s="129">
        <f t="shared" ref="G139:G202" si="40">_xlfn.ISOWEEKNUM(D139)</f>
        <v>19</v>
      </c>
      <c r="H139" s="129">
        <f t="shared" ref="H139:H202" si="41">DAY(D139)</f>
        <v>9</v>
      </c>
      <c r="I139" s="129">
        <f t="shared" ref="I139:I202" si="42">WEEKDAY(D139,2)</f>
        <v>4</v>
      </c>
      <c r="J139" s="192">
        <f t="shared" ref="J139:J202" si="43">D139</f>
        <v>45421</v>
      </c>
      <c r="K139" s="129" t="str" cm="1">
        <f t="array" ref="K139">IF(AND(I139&lt;7,INDEX(B_tblFTMatrix,$E139,$H139)="x"),"ft","")</f>
        <v/>
      </c>
      <c r="L139" s="129"/>
      <c r="M139" s="129"/>
      <c r="N139" s="129">
        <f t="shared" si="34"/>
        <v>1</v>
      </c>
      <c r="O139" s="129">
        <f t="shared" ref="O139:O202" si="44">IF(AND(L139&lt;&gt;"x",N139),1,0)</f>
        <v>1</v>
      </c>
      <c r="P139" s="231">
        <f t="shared" si="35"/>
        <v>8</v>
      </c>
      <c r="Q139" s="233" cm="1">
        <f t="array" ref="Q139">SUMPRODUCT((H_tblBGTage=I139)*(H_tblBGMnt=E139)*H_tblBG%)</f>
        <v>1</v>
      </c>
      <c r="R139" s="231">
        <f t="shared" ref="R139:R202" si="45">IFERROR(P139*Q139,0)</f>
        <v>8</v>
      </c>
      <c r="S139" s="237"/>
      <c r="T139" s="237"/>
      <c r="U139" s="236" cm="1">
        <f t="array" ref="U139">SUMPRODUCT((MAI!M_Verweiszeile=$H139)*MAI!M_ProdTag*(MAI!M_Monat=$E139))</f>
        <v>0</v>
      </c>
      <c r="V139" s="236" cm="1">
        <f t="array" ref="V139">SUMPRODUCT((MAI!M_Verweiszeile=$H139)*MAI!M_ProdN1*(MAI!M_Monat=$E139))</f>
        <v>0</v>
      </c>
      <c r="W139" s="236" cm="1">
        <f t="array" ref="W139">SUMPRODUCT((MAI!M_Verweiszeile=$H139)*MAI!M_ProdN2*(MAI!M_Monat=$E139))</f>
        <v>0</v>
      </c>
      <c r="X139" s="236">
        <f t="shared" ref="X139:X202" si="46">SUM(U139:W139)</f>
        <v>0</v>
      </c>
      <c r="Y139" s="236">
        <f t="shared" si="36"/>
        <v>0</v>
      </c>
      <c r="Z139" s="236">
        <f t="shared" si="37"/>
        <v>0</v>
      </c>
      <c r="AA139" s="236">
        <f t="shared" ref="AA139:AA202" si="47">IF(OR(I139=7,K139="ft"),X139,0)</f>
        <v>0</v>
      </c>
      <c r="AB139" s="236">
        <f t="shared" ref="AB139:AB202" si="48">SUM(Y139:AA139)</f>
        <v>0</v>
      </c>
      <c r="AC139" s="236">
        <f t="shared" ref="AC139:AC202" si="49">X139+AB139</f>
        <v>0</v>
      </c>
    </row>
    <row r="140" spans="3:29" s="189" customFormat="1" x14ac:dyDescent="0.2">
      <c r="C140" s="129">
        <v>131</v>
      </c>
      <c r="D140" s="190">
        <f t="shared" ref="D140:D203" si="50">D139+1</f>
        <v>45422</v>
      </c>
      <c r="E140" s="129">
        <f t="shared" si="38"/>
        <v>5</v>
      </c>
      <c r="F140" s="191">
        <f t="shared" si="39"/>
        <v>45422</v>
      </c>
      <c r="G140" s="129">
        <f t="shared" si="40"/>
        <v>19</v>
      </c>
      <c r="H140" s="129">
        <f t="shared" si="41"/>
        <v>10</v>
      </c>
      <c r="I140" s="129">
        <f t="shared" si="42"/>
        <v>5</v>
      </c>
      <c r="J140" s="192">
        <f t="shared" si="43"/>
        <v>45422</v>
      </c>
      <c r="K140" s="129" t="str" cm="1">
        <f t="array" ref="K140">IF(AND(I140&lt;7,INDEX(B_tblFTMatrix,$E140,$H140)="x"),"ft","")</f>
        <v/>
      </c>
      <c r="L140" s="129"/>
      <c r="M140" s="129"/>
      <c r="N140" s="129">
        <f t="shared" si="34"/>
        <v>1</v>
      </c>
      <c r="O140" s="129">
        <f t="shared" si="44"/>
        <v>1</v>
      </c>
      <c r="P140" s="231">
        <f t="shared" si="35"/>
        <v>8</v>
      </c>
      <c r="Q140" s="233" cm="1">
        <f t="array" ref="Q140">SUMPRODUCT((H_tblBGTage=I140)*(H_tblBGMnt=E140)*H_tblBG%)</f>
        <v>1</v>
      </c>
      <c r="R140" s="231">
        <f t="shared" si="45"/>
        <v>8</v>
      </c>
      <c r="S140" s="237"/>
      <c r="T140" s="237"/>
      <c r="U140" s="236" cm="1">
        <f t="array" ref="U140">SUMPRODUCT((MAI!M_Verweiszeile=$H140)*MAI!M_ProdTag*(MAI!M_Monat=$E140))</f>
        <v>0</v>
      </c>
      <c r="V140" s="236" cm="1">
        <f t="array" ref="V140">SUMPRODUCT((MAI!M_Verweiszeile=$H140)*MAI!M_ProdN1*(MAI!M_Monat=$E140))</f>
        <v>0</v>
      </c>
      <c r="W140" s="236" cm="1">
        <f t="array" ref="W140">SUMPRODUCT((MAI!M_Verweiszeile=$H140)*MAI!M_ProdN2*(MAI!M_Monat=$E140))</f>
        <v>0</v>
      </c>
      <c r="X140" s="236">
        <f t="shared" si="46"/>
        <v>0</v>
      </c>
      <c r="Y140" s="236">
        <f t="shared" si="36"/>
        <v>0</v>
      </c>
      <c r="Z140" s="236">
        <f t="shared" si="37"/>
        <v>0</v>
      </c>
      <c r="AA140" s="236">
        <f t="shared" si="47"/>
        <v>0</v>
      </c>
      <c r="AB140" s="236">
        <f t="shared" si="48"/>
        <v>0</v>
      </c>
      <c r="AC140" s="236">
        <f t="shared" si="49"/>
        <v>0</v>
      </c>
    </row>
    <row r="141" spans="3:29" s="189" customFormat="1" x14ac:dyDescent="0.2">
      <c r="C141" s="129">
        <v>132</v>
      </c>
      <c r="D141" s="190">
        <f t="shared" si="50"/>
        <v>45423</v>
      </c>
      <c r="E141" s="129">
        <f t="shared" si="38"/>
        <v>5</v>
      </c>
      <c r="F141" s="191">
        <f t="shared" si="39"/>
        <v>45423</v>
      </c>
      <c r="G141" s="129">
        <f t="shared" si="40"/>
        <v>19</v>
      </c>
      <c r="H141" s="129">
        <f t="shared" si="41"/>
        <v>11</v>
      </c>
      <c r="I141" s="129">
        <f t="shared" si="42"/>
        <v>6</v>
      </c>
      <c r="J141" s="192">
        <f t="shared" si="43"/>
        <v>45423</v>
      </c>
      <c r="K141" s="129" t="str" cm="1">
        <f t="array" ref="K141">IF(AND(I141&lt;7,INDEX(B_tblFTMatrix,$E141,$H141)="x"),"ft","")</f>
        <v/>
      </c>
      <c r="L141" s="129"/>
      <c r="M141" s="129"/>
      <c r="N141" s="129">
        <f t="shared" si="34"/>
        <v>0</v>
      </c>
      <c r="O141" s="129">
        <f t="shared" si="44"/>
        <v>0</v>
      </c>
      <c r="P141" s="231">
        <f t="shared" si="35"/>
        <v>0</v>
      </c>
      <c r="Q141" s="233" cm="1">
        <f t="array" ref="Q141">SUMPRODUCT((H_tblBGTage=I141)*(H_tblBGMnt=E141)*H_tblBG%)</f>
        <v>0</v>
      </c>
      <c r="R141" s="231">
        <f t="shared" si="45"/>
        <v>0</v>
      </c>
      <c r="S141" s="237"/>
      <c r="T141" s="237"/>
      <c r="U141" s="236" cm="1">
        <f t="array" ref="U141">SUMPRODUCT((MAI!M_Verweiszeile=$H141)*MAI!M_ProdTag*(MAI!M_Monat=$E141))</f>
        <v>0</v>
      </c>
      <c r="V141" s="236" cm="1">
        <f t="array" ref="V141">SUMPRODUCT((MAI!M_Verweiszeile=$H141)*MAI!M_ProdN1*(MAI!M_Monat=$E141))</f>
        <v>0</v>
      </c>
      <c r="W141" s="236" cm="1">
        <f t="array" ref="W141">SUMPRODUCT((MAI!M_Verweiszeile=$H141)*MAI!M_ProdN2*(MAI!M_Monat=$E141))</f>
        <v>0</v>
      </c>
      <c r="X141" s="236">
        <f t="shared" si="46"/>
        <v>0</v>
      </c>
      <c r="Y141" s="236">
        <f t="shared" si="36"/>
        <v>0</v>
      </c>
      <c r="Z141" s="236">
        <f t="shared" si="37"/>
        <v>0</v>
      </c>
      <c r="AA141" s="236">
        <f t="shared" si="47"/>
        <v>0</v>
      </c>
      <c r="AB141" s="236">
        <f t="shared" si="48"/>
        <v>0</v>
      </c>
      <c r="AC141" s="236">
        <f t="shared" si="49"/>
        <v>0</v>
      </c>
    </row>
    <row r="142" spans="3:29" s="189" customFormat="1" x14ac:dyDescent="0.2">
      <c r="C142" s="129">
        <v>133</v>
      </c>
      <c r="D142" s="190">
        <f t="shared" si="50"/>
        <v>45424</v>
      </c>
      <c r="E142" s="129">
        <f t="shared" si="38"/>
        <v>5</v>
      </c>
      <c r="F142" s="191">
        <f t="shared" si="39"/>
        <v>45424</v>
      </c>
      <c r="G142" s="129">
        <f t="shared" si="40"/>
        <v>19</v>
      </c>
      <c r="H142" s="129">
        <f t="shared" si="41"/>
        <v>12</v>
      </c>
      <c r="I142" s="129">
        <f t="shared" si="42"/>
        <v>7</v>
      </c>
      <c r="J142" s="192">
        <f t="shared" si="43"/>
        <v>45424</v>
      </c>
      <c r="K142" s="129" t="str" cm="1">
        <f t="array" ref="K142">IF(AND(I142&lt;7,INDEX(B_tblFTMatrix,$E142,$H142)="x"),"ft","")</f>
        <v/>
      </c>
      <c r="L142" s="129"/>
      <c r="M142" s="129"/>
      <c r="N142" s="129">
        <f t="shared" si="34"/>
        <v>0</v>
      </c>
      <c r="O142" s="129">
        <f t="shared" si="44"/>
        <v>0</v>
      </c>
      <c r="P142" s="231">
        <f t="shared" si="35"/>
        <v>0</v>
      </c>
      <c r="Q142" s="233" cm="1">
        <f t="array" ref="Q142">SUMPRODUCT((H_tblBGTage=I142)*(H_tblBGMnt=E142)*H_tblBG%)</f>
        <v>0</v>
      </c>
      <c r="R142" s="231">
        <f t="shared" si="45"/>
        <v>0</v>
      </c>
      <c r="S142" s="237"/>
      <c r="T142" s="237"/>
      <c r="U142" s="236" cm="1">
        <f t="array" ref="U142">SUMPRODUCT((MAI!M_Verweiszeile=$H142)*MAI!M_ProdTag*(MAI!M_Monat=$E142))</f>
        <v>0</v>
      </c>
      <c r="V142" s="236" cm="1">
        <f t="array" ref="V142">SUMPRODUCT((MAI!M_Verweiszeile=$H142)*MAI!M_ProdN1*(MAI!M_Monat=$E142))</f>
        <v>0</v>
      </c>
      <c r="W142" s="236" cm="1">
        <f t="array" ref="W142">SUMPRODUCT((MAI!M_Verweiszeile=$H142)*MAI!M_ProdN2*(MAI!M_Monat=$E142))</f>
        <v>0</v>
      </c>
      <c r="X142" s="236">
        <f t="shared" si="46"/>
        <v>0</v>
      </c>
      <c r="Y142" s="236">
        <f t="shared" si="36"/>
        <v>0</v>
      </c>
      <c r="Z142" s="236">
        <f t="shared" si="37"/>
        <v>0</v>
      </c>
      <c r="AA142" s="236">
        <f t="shared" si="47"/>
        <v>0</v>
      </c>
      <c r="AB142" s="236">
        <f t="shared" si="48"/>
        <v>0</v>
      </c>
      <c r="AC142" s="236">
        <f t="shared" si="49"/>
        <v>0</v>
      </c>
    </row>
    <row r="143" spans="3:29" s="189" customFormat="1" x14ac:dyDescent="0.2">
      <c r="C143" s="129">
        <v>134</v>
      </c>
      <c r="D143" s="190">
        <f t="shared" si="50"/>
        <v>45425</v>
      </c>
      <c r="E143" s="129">
        <f t="shared" si="38"/>
        <v>5</v>
      </c>
      <c r="F143" s="191">
        <f t="shared" si="39"/>
        <v>45425</v>
      </c>
      <c r="G143" s="129">
        <f t="shared" si="40"/>
        <v>20</v>
      </c>
      <c r="H143" s="129">
        <f t="shared" si="41"/>
        <v>13</v>
      </c>
      <c r="I143" s="129">
        <f t="shared" si="42"/>
        <v>1</v>
      </c>
      <c r="J143" s="192">
        <f t="shared" si="43"/>
        <v>45425</v>
      </c>
      <c r="K143" s="129" t="str" cm="1">
        <f t="array" ref="K143">IF(AND(I143&lt;7,INDEX(B_tblFTMatrix,$E143,$H143)="x"),"ft","")</f>
        <v/>
      </c>
      <c r="L143" s="129"/>
      <c r="M143" s="129"/>
      <c r="N143" s="129">
        <f t="shared" si="34"/>
        <v>1</v>
      </c>
      <c r="O143" s="129">
        <f t="shared" si="44"/>
        <v>1</v>
      </c>
      <c r="P143" s="231">
        <f t="shared" si="35"/>
        <v>8</v>
      </c>
      <c r="Q143" s="233" cm="1">
        <f t="array" ref="Q143">SUMPRODUCT((H_tblBGTage=I143)*(H_tblBGMnt=E143)*H_tblBG%)</f>
        <v>1</v>
      </c>
      <c r="R143" s="231">
        <f t="shared" si="45"/>
        <v>8</v>
      </c>
      <c r="S143" s="237"/>
      <c r="T143" s="237"/>
      <c r="U143" s="236" cm="1">
        <f t="array" ref="U143">SUMPRODUCT((MAI!M_Verweiszeile=$H143)*MAI!M_ProdTag*(MAI!M_Monat=$E143))</f>
        <v>0</v>
      </c>
      <c r="V143" s="236" cm="1">
        <f t="array" ref="V143">SUMPRODUCT((MAI!M_Verweiszeile=$H143)*MAI!M_ProdN1*(MAI!M_Monat=$E143))</f>
        <v>0</v>
      </c>
      <c r="W143" s="236" cm="1">
        <f t="array" ref="W143">SUMPRODUCT((MAI!M_Verweiszeile=$H143)*MAI!M_ProdN2*(MAI!M_Monat=$E143))</f>
        <v>0</v>
      </c>
      <c r="X143" s="236">
        <f t="shared" si="46"/>
        <v>0</v>
      </c>
      <c r="Y143" s="236">
        <f t="shared" si="36"/>
        <v>0</v>
      </c>
      <c r="Z143" s="236">
        <f t="shared" si="37"/>
        <v>0</v>
      </c>
      <c r="AA143" s="236">
        <f t="shared" si="47"/>
        <v>0</v>
      </c>
      <c r="AB143" s="236">
        <f t="shared" si="48"/>
        <v>0</v>
      </c>
      <c r="AC143" s="236">
        <f t="shared" si="49"/>
        <v>0</v>
      </c>
    </row>
    <row r="144" spans="3:29" s="189" customFormat="1" x14ac:dyDescent="0.2">
      <c r="C144" s="129">
        <v>135</v>
      </c>
      <c r="D144" s="190">
        <f t="shared" si="50"/>
        <v>45426</v>
      </c>
      <c r="E144" s="129">
        <f t="shared" si="38"/>
        <v>5</v>
      </c>
      <c r="F144" s="191">
        <f t="shared" si="39"/>
        <v>45426</v>
      </c>
      <c r="G144" s="129">
        <f t="shared" si="40"/>
        <v>20</v>
      </c>
      <c r="H144" s="129">
        <f t="shared" si="41"/>
        <v>14</v>
      </c>
      <c r="I144" s="129">
        <f t="shared" si="42"/>
        <v>2</v>
      </c>
      <c r="J144" s="192">
        <f t="shared" si="43"/>
        <v>45426</v>
      </c>
      <c r="K144" s="129" t="str" cm="1">
        <f t="array" ref="K144">IF(AND(I144&lt;7,INDEX(B_tblFTMatrix,$E144,$H144)="x"),"ft","")</f>
        <v/>
      </c>
      <c r="L144" s="129"/>
      <c r="M144" s="129"/>
      <c r="N144" s="129">
        <f t="shared" si="34"/>
        <v>1</v>
      </c>
      <c r="O144" s="129">
        <f t="shared" si="44"/>
        <v>1</v>
      </c>
      <c r="P144" s="231">
        <f t="shared" si="35"/>
        <v>8</v>
      </c>
      <c r="Q144" s="233" cm="1">
        <f t="array" ref="Q144">SUMPRODUCT((H_tblBGTage=I144)*(H_tblBGMnt=E144)*H_tblBG%)</f>
        <v>1</v>
      </c>
      <c r="R144" s="231">
        <f t="shared" si="45"/>
        <v>8</v>
      </c>
      <c r="S144" s="237"/>
      <c r="T144" s="237"/>
      <c r="U144" s="236" cm="1">
        <f t="array" ref="U144">SUMPRODUCT((MAI!M_Verweiszeile=$H144)*MAI!M_ProdTag*(MAI!M_Monat=$E144))</f>
        <v>0</v>
      </c>
      <c r="V144" s="236" cm="1">
        <f t="array" ref="V144">SUMPRODUCT((MAI!M_Verweiszeile=$H144)*MAI!M_ProdN1*(MAI!M_Monat=$E144))</f>
        <v>0</v>
      </c>
      <c r="W144" s="236" cm="1">
        <f t="array" ref="W144">SUMPRODUCT((MAI!M_Verweiszeile=$H144)*MAI!M_ProdN2*(MAI!M_Monat=$E144))</f>
        <v>0</v>
      </c>
      <c r="X144" s="236">
        <f t="shared" si="46"/>
        <v>0</v>
      </c>
      <c r="Y144" s="236">
        <f t="shared" si="36"/>
        <v>0</v>
      </c>
      <c r="Z144" s="236">
        <f t="shared" si="37"/>
        <v>0</v>
      </c>
      <c r="AA144" s="236">
        <f t="shared" si="47"/>
        <v>0</v>
      </c>
      <c r="AB144" s="236">
        <f t="shared" si="48"/>
        <v>0</v>
      </c>
      <c r="AC144" s="236">
        <f t="shared" si="49"/>
        <v>0</v>
      </c>
    </row>
    <row r="145" spans="3:29" s="189" customFormat="1" x14ac:dyDescent="0.2">
      <c r="C145" s="129">
        <v>136</v>
      </c>
      <c r="D145" s="190">
        <f t="shared" si="50"/>
        <v>45427</v>
      </c>
      <c r="E145" s="129">
        <f t="shared" si="38"/>
        <v>5</v>
      </c>
      <c r="F145" s="191">
        <f t="shared" si="39"/>
        <v>45427</v>
      </c>
      <c r="G145" s="129">
        <f t="shared" si="40"/>
        <v>20</v>
      </c>
      <c r="H145" s="129">
        <f t="shared" si="41"/>
        <v>15</v>
      </c>
      <c r="I145" s="129">
        <f t="shared" si="42"/>
        <v>3</v>
      </c>
      <c r="J145" s="192">
        <f t="shared" si="43"/>
        <v>45427</v>
      </c>
      <c r="K145" s="129" t="str" cm="1">
        <f t="array" ref="K145">IF(AND(I145&lt;7,INDEX(B_tblFTMatrix,$E145,$H145)="x"),"ft","")</f>
        <v/>
      </c>
      <c r="L145" s="129"/>
      <c r="M145" s="129"/>
      <c r="N145" s="129">
        <f t="shared" si="34"/>
        <v>1</v>
      </c>
      <c r="O145" s="129">
        <f t="shared" si="44"/>
        <v>1</v>
      </c>
      <c r="P145" s="231">
        <f t="shared" si="35"/>
        <v>8</v>
      </c>
      <c r="Q145" s="233" cm="1">
        <f t="array" ref="Q145">SUMPRODUCT((H_tblBGTage=I145)*(H_tblBGMnt=E145)*H_tblBG%)</f>
        <v>1</v>
      </c>
      <c r="R145" s="231">
        <f t="shared" si="45"/>
        <v>8</v>
      </c>
      <c r="S145" s="237"/>
      <c r="T145" s="237"/>
      <c r="U145" s="236" cm="1">
        <f t="array" ref="U145">SUMPRODUCT((MAI!M_Verweiszeile=$H145)*MAI!M_ProdTag*(MAI!M_Monat=$E145))</f>
        <v>0</v>
      </c>
      <c r="V145" s="236" cm="1">
        <f t="array" ref="V145">SUMPRODUCT((MAI!M_Verweiszeile=$H145)*MAI!M_ProdN1*(MAI!M_Monat=$E145))</f>
        <v>0</v>
      </c>
      <c r="W145" s="236" cm="1">
        <f t="array" ref="W145">SUMPRODUCT((MAI!M_Verweiszeile=$H145)*MAI!M_ProdN2*(MAI!M_Monat=$E145))</f>
        <v>0</v>
      </c>
      <c r="X145" s="236">
        <f t="shared" si="46"/>
        <v>0</v>
      </c>
      <c r="Y145" s="236">
        <f t="shared" si="36"/>
        <v>0</v>
      </c>
      <c r="Z145" s="236">
        <f t="shared" si="37"/>
        <v>0</v>
      </c>
      <c r="AA145" s="236">
        <f t="shared" si="47"/>
        <v>0</v>
      </c>
      <c r="AB145" s="236">
        <f t="shared" si="48"/>
        <v>0</v>
      </c>
      <c r="AC145" s="236">
        <f t="shared" si="49"/>
        <v>0</v>
      </c>
    </row>
    <row r="146" spans="3:29" s="189" customFormat="1" x14ac:dyDescent="0.2">
      <c r="C146" s="129">
        <v>137</v>
      </c>
      <c r="D146" s="190">
        <f t="shared" si="50"/>
        <v>45428</v>
      </c>
      <c r="E146" s="129">
        <f t="shared" si="38"/>
        <v>5</v>
      </c>
      <c r="F146" s="191">
        <f t="shared" si="39"/>
        <v>45428</v>
      </c>
      <c r="G146" s="129">
        <f t="shared" si="40"/>
        <v>20</v>
      </c>
      <c r="H146" s="129">
        <f t="shared" si="41"/>
        <v>16</v>
      </c>
      <c r="I146" s="129">
        <f t="shared" si="42"/>
        <v>4</v>
      </c>
      <c r="J146" s="192">
        <f t="shared" si="43"/>
        <v>45428</v>
      </c>
      <c r="K146" s="129" t="str" cm="1">
        <f t="array" ref="K146">IF(AND(I146&lt;7,INDEX(B_tblFTMatrix,$E146,$H146)="x"),"ft","")</f>
        <v/>
      </c>
      <c r="L146" s="129"/>
      <c r="M146" s="129"/>
      <c r="N146" s="129">
        <f t="shared" si="34"/>
        <v>1</v>
      </c>
      <c r="O146" s="129">
        <f t="shared" si="44"/>
        <v>1</v>
      </c>
      <c r="P146" s="231">
        <f t="shared" si="35"/>
        <v>8</v>
      </c>
      <c r="Q146" s="233" cm="1">
        <f t="array" ref="Q146">SUMPRODUCT((H_tblBGTage=I146)*(H_tblBGMnt=E146)*H_tblBG%)</f>
        <v>1</v>
      </c>
      <c r="R146" s="231">
        <f t="shared" si="45"/>
        <v>8</v>
      </c>
      <c r="S146" s="237"/>
      <c r="T146" s="237"/>
      <c r="U146" s="236" cm="1">
        <f t="array" ref="U146">SUMPRODUCT((MAI!M_Verweiszeile=$H146)*MAI!M_ProdTag*(MAI!M_Monat=$E146))</f>
        <v>0</v>
      </c>
      <c r="V146" s="236" cm="1">
        <f t="array" ref="V146">SUMPRODUCT((MAI!M_Verweiszeile=$H146)*MAI!M_ProdN1*(MAI!M_Monat=$E146))</f>
        <v>0</v>
      </c>
      <c r="W146" s="236" cm="1">
        <f t="array" ref="W146">SUMPRODUCT((MAI!M_Verweiszeile=$H146)*MAI!M_ProdN2*(MAI!M_Monat=$E146))</f>
        <v>0</v>
      </c>
      <c r="X146" s="236">
        <f t="shared" si="46"/>
        <v>0</v>
      </c>
      <c r="Y146" s="236">
        <f t="shared" si="36"/>
        <v>0</v>
      </c>
      <c r="Z146" s="236">
        <f t="shared" si="37"/>
        <v>0</v>
      </c>
      <c r="AA146" s="236">
        <f t="shared" si="47"/>
        <v>0</v>
      </c>
      <c r="AB146" s="236">
        <f t="shared" si="48"/>
        <v>0</v>
      </c>
      <c r="AC146" s="236">
        <f t="shared" si="49"/>
        <v>0</v>
      </c>
    </row>
    <row r="147" spans="3:29" s="189" customFormat="1" x14ac:dyDescent="0.2">
      <c r="C147" s="129">
        <v>138</v>
      </c>
      <c r="D147" s="190">
        <f t="shared" si="50"/>
        <v>45429</v>
      </c>
      <c r="E147" s="129">
        <f t="shared" si="38"/>
        <v>5</v>
      </c>
      <c r="F147" s="191">
        <f t="shared" si="39"/>
        <v>45429</v>
      </c>
      <c r="G147" s="129">
        <f t="shared" si="40"/>
        <v>20</v>
      </c>
      <c r="H147" s="129">
        <f t="shared" si="41"/>
        <v>17</v>
      </c>
      <c r="I147" s="129">
        <f t="shared" si="42"/>
        <v>5</v>
      </c>
      <c r="J147" s="192">
        <f t="shared" si="43"/>
        <v>45429</v>
      </c>
      <c r="K147" s="129" t="str" cm="1">
        <f t="array" ref="K147">IF(AND(I147&lt;7,INDEX(B_tblFTMatrix,$E147,$H147)="x"),"ft","")</f>
        <v/>
      </c>
      <c r="L147" s="129"/>
      <c r="M147" s="129"/>
      <c r="N147" s="129">
        <f t="shared" si="34"/>
        <v>1</v>
      </c>
      <c r="O147" s="129">
        <f t="shared" si="44"/>
        <v>1</v>
      </c>
      <c r="P147" s="231">
        <f t="shared" si="35"/>
        <v>8</v>
      </c>
      <c r="Q147" s="233" cm="1">
        <f t="array" ref="Q147">SUMPRODUCT((H_tblBGTage=I147)*(H_tblBGMnt=E147)*H_tblBG%)</f>
        <v>1</v>
      </c>
      <c r="R147" s="231">
        <f t="shared" si="45"/>
        <v>8</v>
      </c>
      <c r="S147" s="237"/>
      <c r="T147" s="237"/>
      <c r="U147" s="236" cm="1">
        <f t="array" ref="U147">SUMPRODUCT((MAI!M_Verweiszeile=$H147)*MAI!M_ProdTag*(MAI!M_Monat=$E147))</f>
        <v>0</v>
      </c>
      <c r="V147" s="236" cm="1">
        <f t="array" ref="V147">SUMPRODUCT((MAI!M_Verweiszeile=$H147)*MAI!M_ProdN1*(MAI!M_Monat=$E147))</f>
        <v>0</v>
      </c>
      <c r="W147" s="236" cm="1">
        <f t="array" ref="W147">SUMPRODUCT((MAI!M_Verweiszeile=$H147)*MAI!M_ProdN2*(MAI!M_Monat=$E147))</f>
        <v>0</v>
      </c>
      <c r="X147" s="236">
        <f t="shared" si="46"/>
        <v>0</v>
      </c>
      <c r="Y147" s="236">
        <f t="shared" si="36"/>
        <v>0</v>
      </c>
      <c r="Z147" s="236">
        <f t="shared" si="37"/>
        <v>0</v>
      </c>
      <c r="AA147" s="236">
        <f t="shared" si="47"/>
        <v>0</v>
      </c>
      <c r="AB147" s="236">
        <f t="shared" si="48"/>
        <v>0</v>
      </c>
      <c r="AC147" s="236">
        <f t="shared" si="49"/>
        <v>0</v>
      </c>
    </row>
    <row r="148" spans="3:29" s="189" customFormat="1" x14ac:dyDescent="0.2">
      <c r="C148" s="129">
        <v>139</v>
      </c>
      <c r="D148" s="190">
        <f t="shared" si="50"/>
        <v>45430</v>
      </c>
      <c r="E148" s="129">
        <f t="shared" si="38"/>
        <v>5</v>
      </c>
      <c r="F148" s="191">
        <f t="shared" si="39"/>
        <v>45430</v>
      </c>
      <c r="G148" s="129">
        <f t="shared" si="40"/>
        <v>20</v>
      </c>
      <c r="H148" s="129">
        <f t="shared" si="41"/>
        <v>18</v>
      </c>
      <c r="I148" s="129">
        <f t="shared" si="42"/>
        <v>6</v>
      </c>
      <c r="J148" s="192">
        <f t="shared" si="43"/>
        <v>45430</v>
      </c>
      <c r="K148" s="129" t="str" cm="1">
        <f t="array" ref="K148">IF(AND(I148&lt;7,INDEX(B_tblFTMatrix,$E148,$H148)="x"),"ft","")</f>
        <v/>
      </c>
      <c r="L148" s="129"/>
      <c r="M148" s="129"/>
      <c r="N148" s="129">
        <f t="shared" si="34"/>
        <v>0</v>
      </c>
      <c r="O148" s="129">
        <f t="shared" si="44"/>
        <v>0</v>
      </c>
      <c r="P148" s="231">
        <f t="shared" si="35"/>
        <v>0</v>
      </c>
      <c r="Q148" s="233" cm="1">
        <f t="array" ref="Q148">SUMPRODUCT((H_tblBGTage=I148)*(H_tblBGMnt=E148)*H_tblBG%)</f>
        <v>0</v>
      </c>
      <c r="R148" s="231">
        <f t="shared" si="45"/>
        <v>0</v>
      </c>
      <c r="S148" s="237"/>
      <c r="T148" s="237"/>
      <c r="U148" s="236" cm="1">
        <f t="array" ref="U148">SUMPRODUCT((MAI!M_Verweiszeile=$H148)*MAI!M_ProdTag*(MAI!M_Monat=$E148))</f>
        <v>0</v>
      </c>
      <c r="V148" s="236" cm="1">
        <f t="array" ref="V148">SUMPRODUCT((MAI!M_Verweiszeile=$H148)*MAI!M_ProdN1*(MAI!M_Monat=$E148))</f>
        <v>0</v>
      </c>
      <c r="W148" s="236" cm="1">
        <f t="array" ref="W148">SUMPRODUCT((MAI!M_Verweiszeile=$H148)*MAI!M_ProdN2*(MAI!M_Monat=$E148))</f>
        <v>0</v>
      </c>
      <c r="X148" s="236">
        <f t="shared" si="46"/>
        <v>0</v>
      </c>
      <c r="Y148" s="236">
        <f t="shared" si="36"/>
        <v>0</v>
      </c>
      <c r="Z148" s="236">
        <f t="shared" si="37"/>
        <v>0</v>
      </c>
      <c r="AA148" s="236">
        <f t="shared" si="47"/>
        <v>0</v>
      </c>
      <c r="AB148" s="236">
        <f t="shared" si="48"/>
        <v>0</v>
      </c>
      <c r="AC148" s="236">
        <f t="shared" si="49"/>
        <v>0</v>
      </c>
    </row>
    <row r="149" spans="3:29" s="189" customFormat="1" x14ac:dyDescent="0.2">
      <c r="C149" s="129">
        <v>140</v>
      </c>
      <c r="D149" s="190">
        <f t="shared" si="50"/>
        <v>45431</v>
      </c>
      <c r="E149" s="129">
        <f t="shared" si="38"/>
        <v>5</v>
      </c>
      <c r="F149" s="191">
        <f t="shared" si="39"/>
        <v>45431</v>
      </c>
      <c r="G149" s="129">
        <f t="shared" si="40"/>
        <v>20</v>
      </c>
      <c r="H149" s="129">
        <f t="shared" si="41"/>
        <v>19</v>
      </c>
      <c r="I149" s="129">
        <f t="shared" si="42"/>
        <v>7</v>
      </c>
      <c r="J149" s="192">
        <f t="shared" si="43"/>
        <v>45431</v>
      </c>
      <c r="K149" s="129" t="str" cm="1">
        <f t="array" ref="K149">IF(AND(I149&lt;7,INDEX(B_tblFTMatrix,$E149,$H149)="x"),"ft","")</f>
        <v/>
      </c>
      <c r="L149" s="129"/>
      <c r="M149" s="129"/>
      <c r="N149" s="129">
        <f t="shared" si="34"/>
        <v>0</v>
      </c>
      <c r="O149" s="129">
        <f t="shared" si="44"/>
        <v>0</v>
      </c>
      <c r="P149" s="231">
        <f t="shared" si="35"/>
        <v>0</v>
      </c>
      <c r="Q149" s="233" cm="1">
        <f t="array" ref="Q149">SUMPRODUCT((H_tblBGTage=I149)*(H_tblBGMnt=E149)*H_tblBG%)</f>
        <v>0</v>
      </c>
      <c r="R149" s="231">
        <f t="shared" si="45"/>
        <v>0</v>
      </c>
      <c r="S149" s="237"/>
      <c r="T149" s="237"/>
      <c r="U149" s="236" cm="1">
        <f t="array" ref="U149">SUMPRODUCT((MAI!M_Verweiszeile=$H149)*MAI!M_ProdTag*(MAI!M_Monat=$E149))</f>
        <v>0</v>
      </c>
      <c r="V149" s="236" cm="1">
        <f t="array" ref="V149">SUMPRODUCT((MAI!M_Verweiszeile=$H149)*MAI!M_ProdN1*(MAI!M_Monat=$E149))</f>
        <v>0</v>
      </c>
      <c r="W149" s="236" cm="1">
        <f t="array" ref="W149">SUMPRODUCT((MAI!M_Verweiszeile=$H149)*MAI!M_ProdN2*(MAI!M_Monat=$E149))</f>
        <v>0</v>
      </c>
      <c r="X149" s="236">
        <f t="shared" si="46"/>
        <v>0</v>
      </c>
      <c r="Y149" s="236">
        <f t="shared" si="36"/>
        <v>0</v>
      </c>
      <c r="Z149" s="236">
        <f t="shared" si="37"/>
        <v>0</v>
      </c>
      <c r="AA149" s="236">
        <f t="shared" si="47"/>
        <v>0</v>
      </c>
      <c r="AB149" s="236">
        <f t="shared" si="48"/>
        <v>0</v>
      </c>
      <c r="AC149" s="236">
        <f t="shared" si="49"/>
        <v>0</v>
      </c>
    </row>
    <row r="150" spans="3:29" s="189" customFormat="1" x14ac:dyDescent="0.2">
      <c r="C150" s="129">
        <v>141</v>
      </c>
      <c r="D150" s="190">
        <f t="shared" si="50"/>
        <v>45432</v>
      </c>
      <c r="E150" s="129">
        <f t="shared" si="38"/>
        <v>5</v>
      </c>
      <c r="F150" s="191">
        <f t="shared" si="39"/>
        <v>45432</v>
      </c>
      <c r="G150" s="129">
        <f t="shared" si="40"/>
        <v>21</v>
      </c>
      <c r="H150" s="129">
        <f t="shared" si="41"/>
        <v>20</v>
      </c>
      <c r="I150" s="129">
        <f t="shared" si="42"/>
        <v>1</v>
      </c>
      <c r="J150" s="192">
        <f t="shared" si="43"/>
        <v>45432</v>
      </c>
      <c r="K150" s="129" t="str" cm="1">
        <f t="array" ref="K150">IF(AND(I150&lt;7,INDEX(B_tblFTMatrix,$E150,$H150)="x"),"ft","")</f>
        <v/>
      </c>
      <c r="L150" s="129"/>
      <c r="M150" s="129"/>
      <c r="N150" s="129">
        <f t="shared" si="34"/>
        <v>1</v>
      </c>
      <c r="O150" s="129">
        <f t="shared" si="44"/>
        <v>1</v>
      </c>
      <c r="P150" s="231">
        <f t="shared" si="35"/>
        <v>8</v>
      </c>
      <c r="Q150" s="233" cm="1">
        <f t="array" ref="Q150">SUMPRODUCT((H_tblBGTage=I150)*(H_tblBGMnt=E150)*H_tblBG%)</f>
        <v>1</v>
      </c>
      <c r="R150" s="231">
        <f t="shared" si="45"/>
        <v>8</v>
      </c>
      <c r="S150" s="237"/>
      <c r="T150" s="237"/>
      <c r="U150" s="236" cm="1">
        <f t="array" ref="U150">SUMPRODUCT((MAI!M_Verweiszeile=$H150)*MAI!M_ProdTag*(MAI!M_Monat=$E150))</f>
        <v>0</v>
      </c>
      <c r="V150" s="236" cm="1">
        <f t="array" ref="V150">SUMPRODUCT((MAI!M_Verweiszeile=$H150)*MAI!M_ProdN1*(MAI!M_Monat=$E150))</f>
        <v>0</v>
      </c>
      <c r="W150" s="236" cm="1">
        <f t="array" ref="W150">SUMPRODUCT((MAI!M_Verweiszeile=$H150)*MAI!M_ProdN2*(MAI!M_Monat=$E150))</f>
        <v>0</v>
      </c>
      <c r="X150" s="236">
        <f t="shared" si="46"/>
        <v>0</v>
      </c>
      <c r="Y150" s="236">
        <f t="shared" si="36"/>
        <v>0</v>
      </c>
      <c r="Z150" s="236">
        <f t="shared" si="37"/>
        <v>0</v>
      </c>
      <c r="AA150" s="236">
        <f t="shared" si="47"/>
        <v>0</v>
      </c>
      <c r="AB150" s="236">
        <f t="shared" si="48"/>
        <v>0</v>
      </c>
      <c r="AC150" s="236">
        <f t="shared" si="49"/>
        <v>0</v>
      </c>
    </row>
    <row r="151" spans="3:29" s="189" customFormat="1" x14ac:dyDescent="0.2">
      <c r="C151" s="129">
        <v>142</v>
      </c>
      <c r="D151" s="190">
        <f t="shared" si="50"/>
        <v>45433</v>
      </c>
      <c r="E151" s="129">
        <f t="shared" si="38"/>
        <v>5</v>
      </c>
      <c r="F151" s="191">
        <f t="shared" si="39"/>
        <v>45433</v>
      </c>
      <c r="G151" s="129">
        <f t="shared" si="40"/>
        <v>21</v>
      </c>
      <c r="H151" s="129">
        <f t="shared" si="41"/>
        <v>21</v>
      </c>
      <c r="I151" s="129">
        <f t="shared" si="42"/>
        <v>2</v>
      </c>
      <c r="J151" s="192">
        <f t="shared" si="43"/>
        <v>45433</v>
      </c>
      <c r="K151" s="129" t="str" cm="1">
        <f t="array" ref="K151">IF(AND(I151&lt;7,INDEX(B_tblFTMatrix,$E151,$H151)="x"),"ft","")</f>
        <v/>
      </c>
      <c r="L151" s="129"/>
      <c r="M151" s="129"/>
      <c r="N151" s="129">
        <f t="shared" si="34"/>
        <v>1</v>
      </c>
      <c r="O151" s="129">
        <f t="shared" si="44"/>
        <v>1</v>
      </c>
      <c r="P151" s="231">
        <f t="shared" si="35"/>
        <v>8</v>
      </c>
      <c r="Q151" s="233" cm="1">
        <f t="array" ref="Q151">SUMPRODUCT((H_tblBGTage=I151)*(H_tblBGMnt=E151)*H_tblBG%)</f>
        <v>1</v>
      </c>
      <c r="R151" s="231">
        <f t="shared" si="45"/>
        <v>8</v>
      </c>
      <c r="S151" s="237"/>
      <c r="T151" s="237"/>
      <c r="U151" s="236" cm="1">
        <f t="array" ref="U151">SUMPRODUCT((MAI!M_Verweiszeile=$H151)*MAI!M_ProdTag*(MAI!M_Monat=$E151))</f>
        <v>0</v>
      </c>
      <c r="V151" s="236" cm="1">
        <f t="array" ref="V151">SUMPRODUCT((MAI!M_Verweiszeile=$H151)*MAI!M_ProdN1*(MAI!M_Monat=$E151))</f>
        <v>0</v>
      </c>
      <c r="W151" s="236" cm="1">
        <f t="array" ref="W151">SUMPRODUCT((MAI!M_Verweiszeile=$H151)*MAI!M_ProdN2*(MAI!M_Monat=$E151))</f>
        <v>0</v>
      </c>
      <c r="X151" s="236">
        <f t="shared" si="46"/>
        <v>0</v>
      </c>
      <c r="Y151" s="236">
        <f t="shared" si="36"/>
        <v>0</v>
      </c>
      <c r="Z151" s="236">
        <f t="shared" si="37"/>
        <v>0</v>
      </c>
      <c r="AA151" s="236">
        <f t="shared" si="47"/>
        <v>0</v>
      </c>
      <c r="AB151" s="236">
        <f t="shared" si="48"/>
        <v>0</v>
      </c>
      <c r="AC151" s="236">
        <f t="shared" si="49"/>
        <v>0</v>
      </c>
    </row>
    <row r="152" spans="3:29" s="189" customFormat="1" x14ac:dyDescent="0.2">
      <c r="C152" s="129">
        <v>143</v>
      </c>
      <c r="D152" s="190">
        <f t="shared" si="50"/>
        <v>45434</v>
      </c>
      <c r="E152" s="129">
        <f t="shared" si="38"/>
        <v>5</v>
      </c>
      <c r="F152" s="191">
        <f t="shared" si="39"/>
        <v>45434</v>
      </c>
      <c r="G152" s="129">
        <f t="shared" si="40"/>
        <v>21</v>
      </c>
      <c r="H152" s="129">
        <f t="shared" si="41"/>
        <v>22</v>
      </c>
      <c r="I152" s="129">
        <f t="shared" si="42"/>
        <v>3</v>
      </c>
      <c r="J152" s="192">
        <f t="shared" si="43"/>
        <v>45434</v>
      </c>
      <c r="K152" s="129" t="str" cm="1">
        <f t="array" ref="K152">IF(AND(I152&lt;7,INDEX(B_tblFTMatrix,$E152,$H152)="x"),"ft","")</f>
        <v/>
      </c>
      <c r="L152" s="129"/>
      <c r="M152" s="129"/>
      <c r="N152" s="129">
        <f t="shared" si="34"/>
        <v>1</v>
      </c>
      <c r="O152" s="129">
        <f t="shared" si="44"/>
        <v>1</v>
      </c>
      <c r="P152" s="231">
        <f t="shared" si="35"/>
        <v>8</v>
      </c>
      <c r="Q152" s="233" cm="1">
        <f t="array" ref="Q152">SUMPRODUCT((H_tblBGTage=I152)*(H_tblBGMnt=E152)*H_tblBG%)</f>
        <v>1</v>
      </c>
      <c r="R152" s="231">
        <f t="shared" si="45"/>
        <v>8</v>
      </c>
      <c r="S152" s="237"/>
      <c r="T152" s="237"/>
      <c r="U152" s="236" cm="1">
        <f t="array" ref="U152">SUMPRODUCT((MAI!M_Verweiszeile=$H152)*MAI!M_ProdTag*(MAI!M_Monat=$E152))</f>
        <v>0</v>
      </c>
      <c r="V152" s="236" cm="1">
        <f t="array" ref="V152">SUMPRODUCT((MAI!M_Verweiszeile=$H152)*MAI!M_ProdN1*(MAI!M_Monat=$E152))</f>
        <v>0</v>
      </c>
      <c r="W152" s="236" cm="1">
        <f t="array" ref="W152">SUMPRODUCT((MAI!M_Verweiszeile=$H152)*MAI!M_ProdN2*(MAI!M_Monat=$E152))</f>
        <v>0</v>
      </c>
      <c r="X152" s="236">
        <f t="shared" si="46"/>
        <v>0</v>
      </c>
      <c r="Y152" s="236">
        <f t="shared" si="36"/>
        <v>0</v>
      </c>
      <c r="Z152" s="236">
        <f t="shared" si="37"/>
        <v>0</v>
      </c>
      <c r="AA152" s="236">
        <f t="shared" si="47"/>
        <v>0</v>
      </c>
      <c r="AB152" s="236">
        <f t="shared" si="48"/>
        <v>0</v>
      </c>
      <c r="AC152" s="236">
        <f t="shared" si="49"/>
        <v>0</v>
      </c>
    </row>
    <row r="153" spans="3:29" s="189" customFormat="1" x14ac:dyDescent="0.2">
      <c r="C153" s="129">
        <v>144</v>
      </c>
      <c r="D153" s="190">
        <f t="shared" si="50"/>
        <v>45435</v>
      </c>
      <c r="E153" s="129">
        <f t="shared" si="38"/>
        <v>5</v>
      </c>
      <c r="F153" s="191">
        <f t="shared" si="39"/>
        <v>45435</v>
      </c>
      <c r="G153" s="129">
        <f t="shared" si="40"/>
        <v>21</v>
      </c>
      <c r="H153" s="129">
        <f t="shared" si="41"/>
        <v>23</v>
      </c>
      <c r="I153" s="129">
        <f t="shared" si="42"/>
        <v>4</v>
      </c>
      <c r="J153" s="192">
        <f t="shared" si="43"/>
        <v>45435</v>
      </c>
      <c r="K153" s="129" t="str" cm="1">
        <f t="array" ref="K153">IF(AND(I153&lt;7,INDEX(B_tblFTMatrix,$E153,$H153)="x"),"ft","")</f>
        <v/>
      </c>
      <c r="L153" s="129"/>
      <c r="M153" s="129"/>
      <c r="N153" s="129">
        <f t="shared" si="34"/>
        <v>1</v>
      </c>
      <c r="O153" s="129">
        <f t="shared" si="44"/>
        <v>1</v>
      </c>
      <c r="P153" s="231">
        <f t="shared" si="35"/>
        <v>8</v>
      </c>
      <c r="Q153" s="233" cm="1">
        <f t="array" ref="Q153">SUMPRODUCT((H_tblBGTage=I153)*(H_tblBGMnt=E153)*H_tblBG%)</f>
        <v>1</v>
      </c>
      <c r="R153" s="231">
        <f t="shared" si="45"/>
        <v>8</v>
      </c>
      <c r="S153" s="237"/>
      <c r="T153" s="237"/>
      <c r="U153" s="236" cm="1">
        <f t="array" ref="U153">SUMPRODUCT((MAI!M_Verweiszeile=$H153)*MAI!M_ProdTag*(MAI!M_Monat=$E153))</f>
        <v>0</v>
      </c>
      <c r="V153" s="236" cm="1">
        <f t="array" ref="V153">SUMPRODUCT((MAI!M_Verweiszeile=$H153)*MAI!M_ProdN1*(MAI!M_Monat=$E153))</f>
        <v>0</v>
      </c>
      <c r="W153" s="236" cm="1">
        <f t="array" ref="W153">SUMPRODUCT((MAI!M_Verweiszeile=$H153)*MAI!M_ProdN2*(MAI!M_Monat=$E153))</f>
        <v>0</v>
      </c>
      <c r="X153" s="236">
        <f t="shared" si="46"/>
        <v>0</v>
      </c>
      <c r="Y153" s="236">
        <f t="shared" si="36"/>
        <v>0</v>
      </c>
      <c r="Z153" s="236">
        <f t="shared" si="37"/>
        <v>0</v>
      </c>
      <c r="AA153" s="236">
        <f t="shared" si="47"/>
        <v>0</v>
      </c>
      <c r="AB153" s="236">
        <f t="shared" si="48"/>
        <v>0</v>
      </c>
      <c r="AC153" s="236">
        <f t="shared" si="49"/>
        <v>0</v>
      </c>
    </row>
    <row r="154" spans="3:29" s="189" customFormat="1" x14ac:dyDescent="0.2">
      <c r="C154" s="129">
        <v>145</v>
      </c>
      <c r="D154" s="190">
        <f t="shared" si="50"/>
        <v>45436</v>
      </c>
      <c r="E154" s="129">
        <f t="shared" si="38"/>
        <v>5</v>
      </c>
      <c r="F154" s="191">
        <f t="shared" si="39"/>
        <v>45436</v>
      </c>
      <c r="G154" s="129">
        <f t="shared" si="40"/>
        <v>21</v>
      </c>
      <c r="H154" s="129">
        <f t="shared" si="41"/>
        <v>24</v>
      </c>
      <c r="I154" s="129">
        <f t="shared" si="42"/>
        <v>5</v>
      </c>
      <c r="J154" s="192">
        <f t="shared" si="43"/>
        <v>45436</v>
      </c>
      <c r="K154" s="129" t="str" cm="1">
        <f t="array" ref="K154">IF(AND(I154&lt;7,INDEX(B_tblFTMatrix,$E154,$H154)="x"),"ft","")</f>
        <v/>
      </c>
      <c r="L154" s="129"/>
      <c r="M154" s="129"/>
      <c r="N154" s="129">
        <f t="shared" si="34"/>
        <v>1</v>
      </c>
      <c r="O154" s="129">
        <f t="shared" si="44"/>
        <v>1</v>
      </c>
      <c r="P154" s="231">
        <f t="shared" si="35"/>
        <v>8</v>
      </c>
      <c r="Q154" s="233" cm="1">
        <f t="array" ref="Q154">SUMPRODUCT((H_tblBGTage=I154)*(H_tblBGMnt=E154)*H_tblBG%)</f>
        <v>1</v>
      </c>
      <c r="R154" s="231">
        <f t="shared" si="45"/>
        <v>8</v>
      </c>
      <c r="S154" s="237"/>
      <c r="T154" s="237"/>
      <c r="U154" s="236" cm="1">
        <f t="array" ref="U154">SUMPRODUCT((MAI!M_Verweiszeile=$H154)*MAI!M_ProdTag*(MAI!M_Monat=$E154))</f>
        <v>0</v>
      </c>
      <c r="V154" s="236" cm="1">
        <f t="array" ref="V154">SUMPRODUCT((MAI!M_Verweiszeile=$H154)*MAI!M_ProdN1*(MAI!M_Monat=$E154))</f>
        <v>0</v>
      </c>
      <c r="W154" s="236" cm="1">
        <f t="array" ref="W154">SUMPRODUCT((MAI!M_Verweiszeile=$H154)*MAI!M_ProdN2*(MAI!M_Monat=$E154))</f>
        <v>0</v>
      </c>
      <c r="X154" s="236">
        <f t="shared" si="46"/>
        <v>0</v>
      </c>
      <c r="Y154" s="236">
        <f t="shared" si="36"/>
        <v>0</v>
      </c>
      <c r="Z154" s="236">
        <f t="shared" si="37"/>
        <v>0</v>
      </c>
      <c r="AA154" s="236">
        <f t="shared" si="47"/>
        <v>0</v>
      </c>
      <c r="AB154" s="236">
        <f t="shared" si="48"/>
        <v>0</v>
      </c>
      <c r="AC154" s="236">
        <f t="shared" si="49"/>
        <v>0</v>
      </c>
    </row>
    <row r="155" spans="3:29" s="189" customFormat="1" x14ac:dyDescent="0.2">
      <c r="C155" s="129">
        <v>146</v>
      </c>
      <c r="D155" s="190">
        <f t="shared" si="50"/>
        <v>45437</v>
      </c>
      <c r="E155" s="129">
        <f t="shared" si="38"/>
        <v>5</v>
      </c>
      <c r="F155" s="191">
        <f t="shared" si="39"/>
        <v>45437</v>
      </c>
      <c r="G155" s="129">
        <f t="shared" si="40"/>
        <v>21</v>
      </c>
      <c r="H155" s="129">
        <f t="shared" si="41"/>
        <v>25</v>
      </c>
      <c r="I155" s="129">
        <f t="shared" si="42"/>
        <v>6</v>
      </c>
      <c r="J155" s="192">
        <f t="shared" si="43"/>
        <v>45437</v>
      </c>
      <c r="K155" s="129" t="str" cm="1">
        <f t="array" ref="K155">IF(AND(I155&lt;7,INDEX(B_tblFTMatrix,$E155,$H155)="x"),"ft","")</f>
        <v/>
      </c>
      <c r="L155" s="129"/>
      <c r="M155" s="129"/>
      <c r="N155" s="129">
        <f t="shared" si="34"/>
        <v>0</v>
      </c>
      <c r="O155" s="129">
        <f t="shared" si="44"/>
        <v>0</v>
      </c>
      <c r="P155" s="231">
        <f t="shared" si="35"/>
        <v>0</v>
      </c>
      <c r="Q155" s="233" cm="1">
        <f t="array" ref="Q155">SUMPRODUCT((H_tblBGTage=I155)*(H_tblBGMnt=E155)*H_tblBG%)</f>
        <v>0</v>
      </c>
      <c r="R155" s="231">
        <f t="shared" si="45"/>
        <v>0</v>
      </c>
      <c r="S155" s="237"/>
      <c r="T155" s="237"/>
      <c r="U155" s="236" cm="1">
        <f t="array" ref="U155">SUMPRODUCT((MAI!M_Verweiszeile=$H155)*MAI!M_ProdTag*(MAI!M_Monat=$E155))</f>
        <v>0</v>
      </c>
      <c r="V155" s="236" cm="1">
        <f t="array" ref="V155">SUMPRODUCT((MAI!M_Verweiszeile=$H155)*MAI!M_ProdN1*(MAI!M_Monat=$E155))</f>
        <v>0</v>
      </c>
      <c r="W155" s="236" cm="1">
        <f t="array" ref="W155">SUMPRODUCT((MAI!M_Verweiszeile=$H155)*MAI!M_ProdN2*(MAI!M_Monat=$E155))</f>
        <v>0</v>
      </c>
      <c r="X155" s="236">
        <f t="shared" si="46"/>
        <v>0</v>
      </c>
      <c r="Y155" s="236">
        <f t="shared" si="36"/>
        <v>0</v>
      </c>
      <c r="Z155" s="236">
        <f t="shared" si="37"/>
        <v>0</v>
      </c>
      <c r="AA155" s="236">
        <f t="shared" si="47"/>
        <v>0</v>
      </c>
      <c r="AB155" s="236">
        <f t="shared" si="48"/>
        <v>0</v>
      </c>
      <c r="AC155" s="236">
        <f t="shared" si="49"/>
        <v>0</v>
      </c>
    </row>
    <row r="156" spans="3:29" s="189" customFormat="1" x14ac:dyDescent="0.2">
      <c r="C156" s="129">
        <v>147</v>
      </c>
      <c r="D156" s="190">
        <f t="shared" si="50"/>
        <v>45438</v>
      </c>
      <c r="E156" s="129">
        <f t="shared" si="38"/>
        <v>5</v>
      </c>
      <c r="F156" s="191">
        <f t="shared" si="39"/>
        <v>45438</v>
      </c>
      <c r="G156" s="129">
        <f t="shared" si="40"/>
        <v>21</v>
      </c>
      <c r="H156" s="129">
        <f t="shared" si="41"/>
        <v>26</v>
      </c>
      <c r="I156" s="129">
        <f t="shared" si="42"/>
        <v>7</v>
      </c>
      <c r="J156" s="192">
        <f t="shared" si="43"/>
        <v>45438</v>
      </c>
      <c r="K156" s="129" t="str" cm="1">
        <f t="array" ref="K156">IF(AND(I156&lt;7,INDEX(B_tblFTMatrix,$E156,$H156)="x"),"ft","")</f>
        <v/>
      </c>
      <c r="L156" s="129"/>
      <c r="M156" s="129"/>
      <c r="N156" s="129">
        <f t="shared" si="34"/>
        <v>0</v>
      </c>
      <c r="O156" s="129">
        <f t="shared" si="44"/>
        <v>0</v>
      </c>
      <c r="P156" s="231">
        <f t="shared" si="35"/>
        <v>0</v>
      </c>
      <c r="Q156" s="233" cm="1">
        <f t="array" ref="Q156">SUMPRODUCT((H_tblBGTage=I156)*(H_tblBGMnt=E156)*H_tblBG%)</f>
        <v>0</v>
      </c>
      <c r="R156" s="231">
        <f t="shared" si="45"/>
        <v>0</v>
      </c>
      <c r="S156" s="237"/>
      <c r="T156" s="237"/>
      <c r="U156" s="236" cm="1">
        <f t="array" ref="U156">SUMPRODUCT((MAI!M_Verweiszeile=$H156)*MAI!M_ProdTag*(MAI!M_Monat=$E156))</f>
        <v>0</v>
      </c>
      <c r="V156" s="236" cm="1">
        <f t="array" ref="V156">SUMPRODUCT((MAI!M_Verweiszeile=$H156)*MAI!M_ProdN1*(MAI!M_Monat=$E156))</f>
        <v>0</v>
      </c>
      <c r="W156" s="236" cm="1">
        <f t="array" ref="W156">SUMPRODUCT((MAI!M_Verweiszeile=$H156)*MAI!M_ProdN2*(MAI!M_Monat=$E156))</f>
        <v>0</v>
      </c>
      <c r="X156" s="236">
        <f t="shared" si="46"/>
        <v>0</v>
      </c>
      <c r="Y156" s="236">
        <f t="shared" si="36"/>
        <v>0</v>
      </c>
      <c r="Z156" s="236">
        <f t="shared" si="37"/>
        <v>0</v>
      </c>
      <c r="AA156" s="236">
        <f t="shared" si="47"/>
        <v>0</v>
      </c>
      <c r="AB156" s="236">
        <f t="shared" si="48"/>
        <v>0</v>
      </c>
      <c r="AC156" s="236">
        <f t="shared" si="49"/>
        <v>0</v>
      </c>
    </row>
    <row r="157" spans="3:29" s="189" customFormat="1" x14ac:dyDescent="0.2">
      <c r="C157" s="129">
        <v>148</v>
      </c>
      <c r="D157" s="190">
        <f t="shared" si="50"/>
        <v>45439</v>
      </c>
      <c r="E157" s="129">
        <f t="shared" si="38"/>
        <v>5</v>
      </c>
      <c r="F157" s="191">
        <f t="shared" si="39"/>
        <v>45439</v>
      </c>
      <c r="G157" s="129">
        <f t="shared" si="40"/>
        <v>22</v>
      </c>
      <c r="H157" s="129">
        <f t="shared" si="41"/>
        <v>27</v>
      </c>
      <c r="I157" s="129">
        <f t="shared" si="42"/>
        <v>1</v>
      </c>
      <c r="J157" s="192">
        <f t="shared" si="43"/>
        <v>45439</v>
      </c>
      <c r="K157" s="129" t="str" cm="1">
        <f t="array" ref="K157">IF(AND(I157&lt;7,INDEX(B_tblFTMatrix,$E157,$H157)="x"),"ft","")</f>
        <v/>
      </c>
      <c r="L157" s="129"/>
      <c r="M157" s="129"/>
      <c r="N157" s="129">
        <f t="shared" si="34"/>
        <v>1</v>
      </c>
      <c r="O157" s="129">
        <f t="shared" si="44"/>
        <v>1</v>
      </c>
      <c r="P157" s="231">
        <f t="shared" si="35"/>
        <v>8</v>
      </c>
      <c r="Q157" s="233" cm="1">
        <f t="array" ref="Q157">SUMPRODUCT((H_tblBGTage=I157)*(H_tblBGMnt=E157)*H_tblBG%)</f>
        <v>1</v>
      </c>
      <c r="R157" s="231">
        <f t="shared" si="45"/>
        <v>8</v>
      </c>
      <c r="S157" s="237"/>
      <c r="T157" s="237"/>
      <c r="U157" s="236" cm="1">
        <f t="array" ref="U157">SUMPRODUCT((MAI!M_Verweiszeile=$H157)*MAI!M_ProdTag*(MAI!M_Monat=$E157))</f>
        <v>0</v>
      </c>
      <c r="V157" s="236" cm="1">
        <f t="array" ref="V157">SUMPRODUCT((MAI!M_Verweiszeile=$H157)*MAI!M_ProdN1*(MAI!M_Monat=$E157))</f>
        <v>0</v>
      </c>
      <c r="W157" s="236" cm="1">
        <f t="array" ref="W157">SUMPRODUCT((MAI!M_Verweiszeile=$H157)*MAI!M_ProdN2*(MAI!M_Monat=$E157))</f>
        <v>0</v>
      </c>
      <c r="X157" s="236">
        <f t="shared" si="46"/>
        <v>0</v>
      </c>
      <c r="Y157" s="236">
        <f t="shared" si="36"/>
        <v>0</v>
      </c>
      <c r="Z157" s="236">
        <f t="shared" si="37"/>
        <v>0</v>
      </c>
      <c r="AA157" s="236">
        <f t="shared" si="47"/>
        <v>0</v>
      </c>
      <c r="AB157" s="236">
        <f t="shared" si="48"/>
        <v>0</v>
      </c>
      <c r="AC157" s="236">
        <f t="shared" si="49"/>
        <v>0</v>
      </c>
    </row>
    <row r="158" spans="3:29" s="189" customFormat="1" x14ac:dyDescent="0.2">
      <c r="C158" s="129">
        <v>149</v>
      </c>
      <c r="D158" s="190">
        <f t="shared" si="50"/>
        <v>45440</v>
      </c>
      <c r="E158" s="129">
        <f t="shared" si="38"/>
        <v>5</v>
      </c>
      <c r="F158" s="191">
        <f t="shared" si="39"/>
        <v>45440</v>
      </c>
      <c r="G158" s="129">
        <f t="shared" si="40"/>
        <v>22</v>
      </c>
      <c r="H158" s="129">
        <f t="shared" si="41"/>
        <v>28</v>
      </c>
      <c r="I158" s="129">
        <f t="shared" si="42"/>
        <v>2</v>
      </c>
      <c r="J158" s="192">
        <f t="shared" si="43"/>
        <v>45440</v>
      </c>
      <c r="K158" s="129" t="str" cm="1">
        <f t="array" ref="K158">IF(AND(I158&lt;7,INDEX(B_tblFTMatrix,$E158,$H158)="x"),"ft","")</f>
        <v/>
      </c>
      <c r="L158" s="129"/>
      <c r="M158" s="129"/>
      <c r="N158" s="129">
        <f t="shared" si="34"/>
        <v>1</v>
      </c>
      <c r="O158" s="129">
        <f t="shared" si="44"/>
        <v>1</v>
      </c>
      <c r="P158" s="231">
        <f t="shared" si="35"/>
        <v>8</v>
      </c>
      <c r="Q158" s="233" cm="1">
        <f t="array" ref="Q158">SUMPRODUCT((H_tblBGTage=I158)*(H_tblBGMnt=E158)*H_tblBG%)</f>
        <v>1</v>
      </c>
      <c r="R158" s="231">
        <f t="shared" si="45"/>
        <v>8</v>
      </c>
      <c r="S158" s="237"/>
      <c r="T158" s="237"/>
      <c r="U158" s="236" cm="1">
        <f t="array" ref="U158">SUMPRODUCT((MAI!M_Verweiszeile=$H158)*MAI!M_ProdTag*(MAI!M_Monat=$E158))</f>
        <v>0</v>
      </c>
      <c r="V158" s="236" cm="1">
        <f t="array" ref="V158">SUMPRODUCT((MAI!M_Verweiszeile=$H158)*MAI!M_ProdN1*(MAI!M_Monat=$E158))</f>
        <v>0</v>
      </c>
      <c r="W158" s="236" cm="1">
        <f t="array" ref="W158">SUMPRODUCT((MAI!M_Verweiszeile=$H158)*MAI!M_ProdN2*(MAI!M_Monat=$E158))</f>
        <v>0</v>
      </c>
      <c r="X158" s="236">
        <f t="shared" si="46"/>
        <v>0</v>
      </c>
      <c r="Y158" s="236">
        <f t="shared" si="36"/>
        <v>0</v>
      </c>
      <c r="Z158" s="236">
        <f t="shared" si="37"/>
        <v>0</v>
      </c>
      <c r="AA158" s="236">
        <f t="shared" si="47"/>
        <v>0</v>
      </c>
      <c r="AB158" s="236">
        <f t="shared" si="48"/>
        <v>0</v>
      </c>
      <c r="AC158" s="236">
        <f t="shared" si="49"/>
        <v>0</v>
      </c>
    </row>
    <row r="159" spans="3:29" s="189" customFormat="1" x14ac:dyDescent="0.2">
      <c r="C159" s="129">
        <v>150</v>
      </c>
      <c r="D159" s="190">
        <f t="shared" si="50"/>
        <v>45441</v>
      </c>
      <c r="E159" s="129">
        <f t="shared" si="38"/>
        <v>5</v>
      </c>
      <c r="F159" s="191">
        <f t="shared" si="39"/>
        <v>45441</v>
      </c>
      <c r="G159" s="129">
        <f t="shared" si="40"/>
        <v>22</v>
      </c>
      <c r="H159" s="129">
        <f t="shared" si="41"/>
        <v>29</v>
      </c>
      <c r="I159" s="129">
        <f t="shared" si="42"/>
        <v>3</v>
      </c>
      <c r="J159" s="192">
        <f t="shared" si="43"/>
        <v>45441</v>
      </c>
      <c r="K159" s="129" t="str" cm="1">
        <f t="array" ref="K159">IF(AND(I159&lt;7,INDEX(B_tblFTMatrix,$E159,$H159)="x"),"ft","")</f>
        <v/>
      </c>
      <c r="L159" s="129"/>
      <c r="M159" s="129"/>
      <c r="N159" s="129">
        <f t="shared" si="34"/>
        <v>1</v>
      </c>
      <c r="O159" s="129">
        <f t="shared" si="44"/>
        <v>1</v>
      </c>
      <c r="P159" s="231">
        <f t="shared" si="35"/>
        <v>8</v>
      </c>
      <c r="Q159" s="233" cm="1">
        <f t="array" ref="Q159">SUMPRODUCT((H_tblBGTage=I159)*(H_tblBGMnt=E159)*H_tblBG%)</f>
        <v>1</v>
      </c>
      <c r="R159" s="231">
        <f t="shared" si="45"/>
        <v>8</v>
      </c>
      <c r="S159" s="237"/>
      <c r="T159" s="237"/>
      <c r="U159" s="236" cm="1">
        <f t="array" ref="U159">SUMPRODUCT((MAI!M_Verweiszeile=$H159)*MAI!M_ProdTag*(MAI!M_Monat=$E159))</f>
        <v>0</v>
      </c>
      <c r="V159" s="236" cm="1">
        <f t="array" ref="V159">SUMPRODUCT((MAI!M_Verweiszeile=$H159)*MAI!M_ProdN1*(MAI!M_Monat=$E159))</f>
        <v>0</v>
      </c>
      <c r="W159" s="236" cm="1">
        <f t="array" ref="W159">SUMPRODUCT((MAI!M_Verweiszeile=$H159)*MAI!M_ProdN2*(MAI!M_Monat=$E159))</f>
        <v>0</v>
      </c>
      <c r="X159" s="236">
        <f t="shared" si="46"/>
        <v>0</v>
      </c>
      <c r="Y159" s="236">
        <f t="shared" si="36"/>
        <v>0</v>
      </c>
      <c r="Z159" s="236">
        <f t="shared" si="37"/>
        <v>0</v>
      </c>
      <c r="AA159" s="236">
        <f t="shared" si="47"/>
        <v>0</v>
      </c>
      <c r="AB159" s="236">
        <f t="shared" si="48"/>
        <v>0</v>
      </c>
      <c r="AC159" s="236">
        <f t="shared" si="49"/>
        <v>0</v>
      </c>
    </row>
    <row r="160" spans="3:29" s="189" customFormat="1" x14ac:dyDescent="0.2">
      <c r="C160" s="129">
        <v>151</v>
      </c>
      <c r="D160" s="190">
        <f t="shared" si="50"/>
        <v>45442</v>
      </c>
      <c r="E160" s="129">
        <f t="shared" si="38"/>
        <v>5</v>
      </c>
      <c r="F160" s="191">
        <f t="shared" si="39"/>
        <v>45442</v>
      </c>
      <c r="G160" s="129">
        <f t="shared" si="40"/>
        <v>22</v>
      </c>
      <c r="H160" s="129">
        <f t="shared" si="41"/>
        <v>30</v>
      </c>
      <c r="I160" s="129">
        <f t="shared" si="42"/>
        <v>4</v>
      </c>
      <c r="J160" s="192">
        <f t="shared" si="43"/>
        <v>45442</v>
      </c>
      <c r="K160" s="129" t="str" cm="1">
        <f t="array" ref="K160">IF(AND(I160&lt;7,INDEX(B_tblFTMatrix,$E160,$H160)="x"),"ft","")</f>
        <v/>
      </c>
      <c r="L160" s="129"/>
      <c r="M160" s="129"/>
      <c r="N160" s="129">
        <f t="shared" si="34"/>
        <v>1</v>
      </c>
      <c r="O160" s="129">
        <f t="shared" si="44"/>
        <v>1</v>
      </c>
      <c r="P160" s="231">
        <f t="shared" si="35"/>
        <v>8</v>
      </c>
      <c r="Q160" s="233" cm="1">
        <f t="array" ref="Q160">SUMPRODUCT((H_tblBGTage=I160)*(H_tblBGMnt=E160)*H_tblBG%)</f>
        <v>1</v>
      </c>
      <c r="R160" s="231">
        <f t="shared" si="45"/>
        <v>8</v>
      </c>
      <c r="S160" s="237"/>
      <c r="T160" s="237"/>
      <c r="U160" s="236" cm="1">
        <f t="array" ref="U160">SUMPRODUCT((MAI!M_Verweiszeile=$H160)*MAI!M_ProdTag*(MAI!M_Monat=$E160))</f>
        <v>0</v>
      </c>
      <c r="V160" s="236" cm="1">
        <f t="array" ref="V160">SUMPRODUCT((MAI!M_Verweiszeile=$H160)*MAI!M_ProdN1*(MAI!M_Monat=$E160))</f>
        <v>0</v>
      </c>
      <c r="W160" s="236" cm="1">
        <f t="array" ref="W160">SUMPRODUCT((MAI!M_Verweiszeile=$H160)*MAI!M_ProdN2*(MAI!M_Monat=$E160))</f>
        <v>0</v>
      </c>
      <c r="X160" s="236">
        <f t="shared" si="46"/>
        <v>0</v>
      </c>
      <c r="Y160" s="236">
        <f t="shared" si="36"/>
        <v>0</v>
      </c>
      <c r="Z160" s="236">
        <f t="shared" si="37"/>
        <v>0</v>
      </c>
      <c r="AA160" s="236">
        <f t="shared" si="47"/>
        <v>0</v>
      </c>
      <c r="AB160" s="236">
        <f t="shared" si="48"/>
        <v>0</v>
      </c>
      <c r="AC160" s="236">
        <f t="shared" si="49"/>
        <v>0</v>
      </c>
    </row>
    <row r="161" spans="3:29" s="189" customFormat="1" x14ac:dyDescent="0.2">
      <c r="C161" s="129">
        <v>152</v>
      </c>
      <c r="D161" s="190">
        <f t="shared" si="50"/>
        <v>45443</v>
      </c>
      <c r="E161" s="129">
        <f t="shared" si="38"/>
        <v>5</v>
      </c>
      <c r="F161" s="191">
        <f t="shared" si="39"/>
        <v>45443</v>
      </c>
      <c r="G161" s="129">
        <f t="shared" si="40"/>
        <v>22</v>
      </c>
      <c r="H161" s="129">
        <f t="shared" si="41"/>
        <v>31</v>
      </c>
      <c r="I161" s="129">
        <f t="shared" si="42"/>
        <v>5</v>
      </c>
      <c r="J161" s="192">
        <f t="shared" si="43"/>
        <v>45443</v>
      </c>
      <c r="K161" s="129" t="str" cm="1">
        <f t="array" ref="K161">IF(AND(I161&lt;7,INDEX(B_tblFTMatrix,$E161,$H161)="x"),"ft","")</f>
        <v/>
      </c>
      <c r="L161" s="129"/>
      <c r="M161" s="129"/>
      <c r="N161" s="129">
        <f t="shared" si="34"/>
        <v>1</v>
      </c>
      <c r="O161" s="129">
        <f t="shared" si="44"/>
        <v>1</v>
      </c>
      <c r="P161" s="231">
        <f t="shared" si="35"/>
        <v>8</v>
      </c>
      <c r="Q161" s="233" cm="1">
        <f t="array" ref="Q161">SUMPRODUCT((H_tblBGTage=I161)*(H_tblBGMnt=E161)*H_tblBG%)</f>
        <v>1</v>
      </c>
      <c r="R161" s="231">
        <f t="shared" si="45"/>
        <v>8</v>
      </c>
      <c r="S161" s="237"/>
      <c r="T161" s="237"/>
      <c r="U161" s="319" cm="1">
        <f t="array" ref="U161">SUMPRODUCT((MAI!M_Verweiszeile=$H161)*MAI!M_ProdTag*(MAI!M_Monat=$E161))+SUMPRODUCT((JUN!M_Verweiszeile=$H161)*JUN!M_ProdTag*(JUN!M_Monat=$E161))</f>
        <v>0</v>
      </c>
      <c r="V161" s="236" cm="1">
        <f t="array" ref="V161">SUMPRODUCT((MAI!M_Verweiszeile=$H161)*MAI!M_ProdN1*(MAI!M_Monat=$E161))+SUMPRODUCT((JUN!M_Verweiszeile=$H161)*JUN!M_ProdN1*(JUN!M_Monat=$E161))</f>
        <v>0</v>
      </c>
      <c r="W161" s="236" cm="1">
        <f t="array" ref="W161">SUMPRODUCT((MAI!M_Verweiszeile=$H161)*MAI!M_ProdN2*(MAI!M_Monat=$E161))+SUMPRODUCT((JUN!M_Verweiszeile=$H161)*JUN!M_ProdN2*(JUN!M_Monat=$E161))</f>
        <v>0</v>
      </c>
      <c r="X161" s="236">
        <f t="shared" si="46"/>
        <v>0</v>
      </c>
      <c r="Y161" s="236">
        <f t="shared" si="36"/>
        <v>0</v>
      </c>
      <c r="Z161" s="236">
        <f t="shared" si="37"/>
        <v>0</v>
      </c>
      <c r="AA161" s="236">
        <f t="shared" si="47"/>
        <v>0</v>
      </c>
      <c r="AB161" s="236">
        <f t="shared" si="48"/>
        <v>0</v>
      </c>
      <c r="AC161" s="236">
        <f t="shared" si="49"/>
        <v>0</v>
      </c>
    </row>
    <row r="162" spans="3:29" s="189" customFormat="1" x14ac:dyDescent="0.2">
      <c r="C162" s="129">
        <v>153</v>
      </c>
      <c r="D162" s="190">
        <f t="shared" si="50"/>
        <v>45444</v>
      </c>
      <c r="E162" s="129">
        <f t="shared" si="38"/>
        <v>6</v>
      </c>
      <c r="F162" s="191">
        <f t="shared" si="39"/>
        <v>45444</v>
      </c>
      <c r="G162" s="129">
        <f t="shared" si="40"/>
        <v>22</v>
      </c>
      <c r="H162" s="129">
        <f t="shared" si="41"/>
        <v>1</v>
      </c>
      <c r="I162" s="129">
        <f t="shared" si="42"/>
        <v>6</v>
      </c>
      <c r="J162" s="192">
        <f t="shared" si="43"/>
        <v>45444</v>
      </c>
      <c r="K162" s="129" t="str" cm="1">
        <f t="array" ref="K162">IF(AND(I162&lt;7,INDEX(B_tblFTMatrix,$E162,$H162)="x"),"ft","")</f>
        <v/>
      </c>
      <c r="L162" s="129"/>
      <c r="M162" s="129"/>
      <c r="N162" s="129">
        <f t="shared" si="34"/>
        <v>0</v>
      </c>
      <c r="O162" s="129">
        <f t="shared" si="44"/>
        <v>0</v>
      </c>
      <c r="P162" s="231">
        <f t="shared" si="35"/>
        <v>0</v>
      </c>
      <c r="Q162" s="233" cm="1">
        <f t="array" ref="Q162">SUMPRODUCT((H_tblBGTage=I162)*(H_tblBGMnt=E162)*H_tblBG%)</f>
        <v>0</v>
      </c>
      <c r="R162" s="231">
        <f t="shared" si="45"/>
        <v>0</v>
      </c>
      <c r="S162" s="237"/>
      <c r="T162" s="237"/>
      <c r="U162" s="319" cm="1">
        <f t="array" ref="U162">SUMPRODUCT((JUN!M_Verweiszeile=$H162)*JUN!M_ProdTag*(JUN!M_Monat=$E162))</f>
        <v>0</v>
      </c>
      <c r="V162" s="236" cm="1">
        <f t="array" ref="V162">SUMPRODUCT((JUN!M_Verweiszeile=$H162)*JUN!M_ProdN1*(JUN!M_Monat=$E162))</f>
        <v>0</v>
      </c>
      <c r="W162" s="236" cm="1">
        <f t="array" ref="W162">SUMPRODUCT((JUN!M_Verweiszeile=$H162)*JUN!M_ProdN2*(JUN!M_Monat=$E162))</f>
        <v>0</v>
      </c>
      <c r="X162" s="236">
        <f t="shared" si="46"/>
        <v>0</v>
      </c>
      <c r="Y162" s="236">
        <f t="shared" si="36"/>
        <v>0</v>
      </c>
      <c r="Z162" s="236">
        <f t="shared" si="37"/>
        <v>0</v>
      </c>
      <c r="AA162" s="236">
        <f t="shared" si="47"/>
        <v>0</v>
      </c>
      <c r="AB162" s="236">
        <f t="shared" si="48"/>
        <v>0</v>
      </c>
      <c r="AC162" s="236">
        <f t="shared" si="49"/>
        <v>0</v>
      </c>
    </row>
    <row r="163" spans="3:29" s="189" customFormat="1" x14ac:dyDescent="0.2">
      <c r="C163" s="129">
        <v>154</v>
      </c>
      <c r="D163" s="190">
        <f t="shared" si="50"/>
        <v>45445</v>
      </c>
      <c r="E163" s="129">
        <f t="shared" si="38"/>
        <v>6</v>
      </c>
      <c r="F163" s="191">
        <f t="shared" si="39"/>
        <v>45445</v>
      </c>
      <c r="G163" s="129">
        <f t="shared" si="40"/>
        <v>22</v>
      </c>
      <c r="H163" s="129">
        <f t="shared" si="41"/>
        <v>2</v>
      </c>
      <c r="I163" s="129">
        <f t="shared" si="42"/>
        <v>7</v>
      </c>
      <c r="J163" s="192">
        <f t="shared" si="43"/>
        <v>45445</v>
      </c>
      <c r="K163" s="129" t="str" cm="1">
        <f t="array" ref="K163">IF(AND(I163&lt;7,INDEX(B_tblFTMatrix,$E163,$H163)="x"),"ft","")</f>
        <v/>
      </c>
      <c r="L163" s="129"/>
      <c r="M163" s="129"/>
      <c r="N163" s="129">
        <f t="shared" si="34"/>
        <v>0</v>
      </c>
      <c r="O163" s="129">
        <f t="shared" si="44"/>
        <v>0</v>
      </c>
      <c r="P163" s="231">
        <f t="shared" si="35"/>
        <v>0</v>
      </c>
      <c r="Q163" s="233" cm="1">
        <f t="array" ref="Q163">SUMPRODUCT((H_tblBGTage=I163)*(H_tblBGMnt=E163)*H_tblBG%)</f>
        <v>0</v>
      </c>
      <c r="R163" s="231">
        <f t="shared" si="45"/>
        <v>0</v>
      </c>
      <c r="S163" s="237"/>
      <c r="T163" s="237"/>
      <c r="U163" s="236" cm="1">
        <f t="array" ref="U163">SUMPRODUCT((JUN!M_Verweiszeile=$H163)*JUN!M_ProdTag*(JUN!M_Monat=$E163))</f>
        <v>0</v>
      </c>
      <c r="V163" s="236" cm="1">
        <f t="array" ref="V163">SUMPRODUCT((JUN!M_Verweiszeile=$H163)*JUN!M_ProdN1*(JUN!M_Monat=$E163))</f>
        <v>0</v>
      </c>
      <c r="W163" s="236" cm="1">
        <f t="array" ref="W163">SUMPRODUCT((JUN!M_Verweiszeile=$H163)*JUN!M_ProdN2*(JUN!M_Monat=$E163))</f>
        <v>0</v>
      </c>
      <c r="X163" s="236">
        <f t="shared" si="46"/>
        <v>0</v>
      </c>
      <c r="Y163" s="236">
        <f t="shared" si="36"/>
        <v>0</v>
      </c>
      <c r="Z163" s="236">
        <f t="shared" si="37"/>
        <v>0</v>
      </c>
      <c r="AA163" s="236">
        <f t="shared" si="47"/>
        <v>0</v>
      </c>
      <c r="AB163" s="236">
        <f t="shared" si="48"/>
        <v>0</v>
      </c>
      <c r="AC163" s="236">
        <f t="shared" si="49"/>
        <v>0</v>
      </c>
    </row>
    <row r="164" spans="3:29" s="189" customFormat="1" x14ac:dyDescent="0.2">
      <c r="C164" s="129">
        <v>155</v>
      </c>
      <c r="D164" s="190">
        <f t="shared" si="50"/>
        <v>45446</v>
      </c>
      <c r="E164" s="129">
        <f t="shared" si="38"/>
        <v>6</v>
      </c>
      <c r="F164" s="191">
        <f t="shared" si="39"/>
        <v>45446</v>
      </c>
      <c r="G164" s="129">
        <f t="shared" si="40"/>
        <v>23</v>
      </c>
      <c r="H164" s="129">
        <f t="shared" si="41"/>
        <v>3</v>
      </c>
      <c r="I164" s="129">
        <f t="shared" si="42"/>
        <v>1</v>
      </c>
      <c r="J164" s="192">
        <f t="shared" si="43"/>
        <v>45446</v>
      </c>
      <c r="K164" s="129" t="str" cm="1">
        <f t="array" ref="K164">IF(AND(I164&lt;7,INDEX(B_tblFTMatrix,$E164,$H164)="x"),"ft","")</f>
        <v/>
      </c>
      <c r="L164" s="129"/>
      <c r="M164" s="129"/>
      <c r="N164" s="129">
        <f t="shared" si="34"/>
        <v>1</v>
      </c>
      <c r="O164" s="129">
        <f t="shared" si="44"/>
        <v>1</v>
      </c>
      <c r="P164" s="231">
        <f t="shared" si="35"/>
        <v>8</v>
      </c>
      <c r="Q164" s="233" cm="1">
        <f t="array" ref="Q164">SUMPRODUCT((H_tblBGTage=I164)*(H_tblBGMnt=E164)*H_tblBG%)</f>
        <v>1</v>
      </c>
      <c r="R164" s="231">
        <f t="shared" si="45"/>
        <v>8</v>
      </c>
      <c r="S164" s="237"/>
      <c r="T164" s="237"/>
      <c r="U164" s="236" cm="1">
        <f t="array" ref="U164">SUMPRODUCT((JUN!M_Verweiszeile=$H164)*JUN!M_ProdTag*(JUN!M_Monat=$E164))</f>
        <v>0</v>
      </c>
      <c r="V164" s="236" cm="1">
        <f t="array" ref="V164">SUMPRODUCT((JUN!M_Verweiszeile=$H164)*JUN!M_ProdN1*(JUN!M_Monat=$E164))</f>
        <v>0</v>
      </c>
      <c r="W164" s="236" cm="1">
        <f t="array" ref="W164">SUMPRODUCT((JUN!M_Verweiszeile=$H164)*JUN!M_ProdN2*(JUN!M_Monat=$E164))</f>
        <v>0</v>
      </c>
      <c r="X164" s="236">
        <f t="shared" si="46"/>
        <v>0</v>
      </c>
      <c r="Y164" s="236">
        <f t="shared" si="36"/>
        <v>0</v>
      </c>
      <c r="Z164" s="236">
        <f t="shared" si="37"/>
        <v>0</v>
      </c>
      <c r="AA164" s="236">
        <f t="shared" si="47"/>
        <v>0</v>
      </c>
      <c r="AB164" s="236">
        <f t="shared" si="48"/>
        <v>0</v>
      </c>
      <c r="AC164" s="236">
        <f t="shared" si="49"/>
        <v>0</v>
      </c>
    </row>
    <row r="165" spans="3:29" s="189" customFormat="1" x14ac:dyDescent="0.2">
      <c r="C165" s="129">
        <v>156</v>
      </c>
      <c r="D165" s="190">
        <f t="shared" si="50"/>
        <v>45447</v>
      </c>
      <c r="E165" s="129">
        <f t="shared" si="38"/>
        <v>6</v>
      </c>
      <c r="F165" s="191">
        <f t="shared" si="39"/>
        <v>45447</v>
      </c>
      <c r="G165" s="129">
        <f t="shared" si="40"/>
        <v>23</v>
      </c>
      <c r="H165" s="129">
        <f t="shared" si="41"/>
        <v>4</v>
      </c>
      <c r="I165" s="129">
        <f t="shared" si="42"/>
        <v>2</v>
      </c>
      <c r="J165" s="192">
        <f t="shared" si="43"/>
        <v>45447</v>
      </c>
      <c r="K165" s="129" t="str" cm="1">
        <f t="array" ref="K165">IF(AND(I165&lt;7,INDEX(B_tblFTMatrix,$E165,$H165)="x"),"ft","")</f>
        <v/>
      </c>
      <c r="L165" s="129"/>
      <c r="M165" s="129"/>
      <c r="N165" s="129">
        <f t="shared" si="34"/>
        <v>1</v>
      </c>
      <c r="O165" s="129">
        <f t="shared" si="44"/>
        <v>1</v>
      </c>
      <c r="P165" s="231">
        <f t="shared" si="35"/>
        <v>8</v>
      </c>
      <c r="Q165" s="233" cm="1">
        <f t="array" ref="Q165">SUMPRODUCT((H_tblBGTage=I165)*(H_tblBGMnt=E165)*H_tblBG%)</f>
        <v>1</v>
      </c>
      <c r="R165" s="231">
        <f t="shared" si="45"/>
        <v>8</v>
      </c>
      <c r="S165" s="237"/>
      <c r="T165" s="237"/>
      <c r="U165" s="236" cm="1">
        <f t="array" ref="U165">SUMPRODUCT((JUN!M_Verweiszeile=$H165)*JUN!M_ProdTag*(JUN!M_Monat=$E165))</f>
        <v>0</v>
      </c>
      <c r="V165" s="236" cm="1">
        <f t="array" ref="V165">SUMPRODUCT((JUN!M_Verweiszeile=$H165)*JUN!M_ProdN1*(JUN!M_Monat=$E165))</f>
        <v>0</v>
      </c>
      <c r="W165" s="236" cm="1">
        <f t="array" ref="W165">SUMPRODUCT((JUN!M_Verweiszeile=$H165)*JUN!M_ProdN2*(JUN!M_Monat=$E165))</f>
        <v>0</v>
      </c>
      <c r="X165" s="236">
        <f t="shared" si="46"/>
        <v>0</v>
      </c>
      <c r="Y165" s="236">
        <f t="shared" si="36"/>
        <v>0</v>
      </c>
      <c r="Z165" s="236">
        <f t="shared" si="37"/>
        <v>0</v>
      </c>
      <c r="AA165" s="236">
        <f t="shared" si="47"/>
        <v>0</v>
      </c>
      <c r="AB165" s="236">
        <f t="shared" si="48"/>
        <v>0</v>
      </c>
      <c r="AC165" s="236">
        <f t="shared" si="49"/>
        <v>0</v>
      </c>
    </row>
    <row r="166" spans="3:29" s="189" customFormat="1" x14ac:dyDescent="0.2">
      <c r="C166" s="129">
        <v>157</v>
      </c>
      <c r="D166" s="190">
        <f t="shared" si="50"/>
        <v>45448</v>
      </c>
      <c r="E166" s="129">
        <f t="shared" si="38"/>
        <v>6</v>
      </c>
      <c r="F166" s="191">
        <f t="shared" si="39"/>
        <v>45448</v>
      </c>
      <c r="G166" s="129">
        <f t="shared" si="40"/>
        <v>23</v>
      </c>
      <c r="H166" s="129">
        <f t="shared" si="41"/>
        <v>5</v>
      </c>
      <c r="I166" s="129">
        <f t="shared" si="42"/>
        <v>3</v>
      </c>
      <c r="J166" s="192">
        <f t="shared" si="43"/>
        <v>45448</v>
      </c>
      <c r="K166" s="129" t="str" cm="1">
        <f t="array" ref="K166">IF(AND(I166&lt;7,INDEX(B_tblFTMatrix,$E166,$H166)="x"),"ft","")</f>
        <v/>
      </c>
      <c r="L166" s="129"/>
      <c r="M166" s="129"/>
      <c r="N166" s="129">
        <f t="shared" si="34"/>
        <v>1</v>
      </c>
      <c r="O166" s="129">
        <f t="shared" si="44"/>
        <v>1</v>
      </c>
      <c r="P166" s="231">
        <f t="shared" si="35"/>
        <v>8</v>
      </c>
      <c r="Q166" s="233" cm="1">
        <f t="array" ref="Q166">SUMPRODUCT((H_tblBGTage=I166)*(H_tblBGMnt=E166)*H_tblBG%)</f>
        <v>1</v>
      </c>
      <c r="R166" s="231">
        <f t="shared" si="45"/>
        <v>8</v>
      </c>
      <c r="S166" s="237"/>
      <c r="T166" s="237"/>
      <c r="U166" s="236" cm="1">
        <f t="array" ref="U166">SUMPRODUCT((JUN!M_Verweiszeile=$H166)*JUN!M_ProdTag*(JUN!M_Monat=$E166))</f>
        <v>0</v>
      </c>
      <c r="V166" s="236" cm="1">
        <f t="array" ref="V166">SUMPRODUCT((JUN!M_Verweiszeile=$H166)*JUN!M_ProdN1*(JUN!M_Monat=$E166))</f>
        <v>0</v>
      </c>
      <c r="W166" s="236" cm="1">
        <f t="array" ref="W166">SUMPRODUCT((JUN!M_Verweiszeile=$H166)*JUN!M_ProdN2*(JUN!M_Monat=$E166))</f>
        <v>0</v>
      </c>
      <c r="X166" s="236">
        <f t="shared" si="46"/>
        <v>0</v>
      </c>
      <c r="Y166" s="236">
        <f t="shared" si="36"/>
        <v>0</v>
      </c>
      <c r="Z166" s="236">
        <f t="shared" si="37"/>
        <v>0</v>
      </c>
      <c r="AA166" s="236">
        <f t="shared" si="47"/>
        <v>0</v>
      </c>
      <c r="AB166" s="236">
        <f t="shared" si="48"/>
        <v>0</v>
      </c>
      <c r="AC166" s="236">
        <f t="shared" si="49"/>
        <v>0</v>
      </c>
    </row>
    <row r="167" spans="3:29" s="189" customFormat="1" x14ac:dyDescent="0.2">
      <c r="C167" s="129">
        <v>158</v>
      </c>
      <c r="D167" s="190">
        <f t="shared" si="50"/>
        <v>45449</v>
      </c>
      <c r="E167" s="129">
        <f t="shared" si="38"/>
        <v>6</v>
      </c>
      <c r="F167" s="191">
        <f t="shared" si="39"/>
        <v>45449</v>
      </c>
      <c r="G167" s="129">
        <f t="shared" si="40"/>
        <v>23</v>
      </c>
      <c r="H167" s="129">
        <f t="shared" si="41"/>
        <v>6</v>
      </c>
      <c r="I167" s="129">
        <f t="shared" si="42"/>
        <v>4</v>
      </c>
      <c r="J167" s="192">
        <f t="shared" si="43"/>
        <v>45449</v>
      </c>
      <c r="K167" s="129" t="str" cm="1">
        <f t="array" ref="K167">IF(AND(I167&lt;7,INDEX(B_tblFTMatrix,$E167,$H167)="x"),"ft","")</f>
        <v/>
      </c>
      <c r="L167" s="129"/>
      <c r="M167" s="129"/>
      <c r="N167" s="129">
        <f t="shared" si="34"/>
        <v>1</v>
      </c>
      <c r="O167" s="129">
        <f t="shared" si="44"/>
        <v>1</v>
      </c>
      <c r="P167" s="231">
        <f t="shared" si="35"/>
        <v>8</v>
      </c>
      <c r="Q167" s="233" cm="1">
        <f t="array" ref="Q167">SUMPRODUCT((H_tblBGTage=I167)*(H_tblBGMnt=E167)*H_tblBG%)</f>
        <v>1</v>
      </c>
      <c r="R167" s="231">
        <f t="shared" si="45"/>
        <v>8</v>
      </c>
      <c r="S167" s="237"/>
      <c r="T167" s="237"/>
      <c r="U167" s="236" cm="1">
        <f t="array" ref="U167">SUMPRODUCT((JUN!M_Verweiszeile=$H167)*JUN!M_ProdTag*(JUN!M_Monat=$E167))</f>
        <v>0</v>
      </c>
      <c r="V167" s="236" cm="1">
        <f t="array" ref="V167">SUMPRODUCT((JUN!M_Verweiszeile=$H167)*JUN!M_ProdN1*(JUN!M_Monat=$E167))</f>
        <v>0</v>
      </c>
      <c r="W167" s="236" cm="1">
        <f t="array" ref="W167">SUMPRODUCT((JUN!M_Verweiszeile=$H167)*JUN!M_ProdN2*(JUN!M_Monat=$E167))</f>
        <v>0</v>
      </c>
      <c r="X167" s="236">
        <f t="shared" si="46"/>
        <v>0</v>
      </c>
      <c r="Y167" s="236">
        <f t="shared" si="36"/>
        <v>0</v>
      </c>
      <c r="Z167" s="236">
        <f t="shared" si="37"/>
        <v>0</v>
      </c>
      <c r="AA167" s="236">
        <f t="shared" si="47"/>
        <v>0</v>
      </c>
      <c r="AB167" s="236">
        <f t="shared" si="48"/>
        <v>0</v>
      </c>
      <c r="AC167" s="236">
        <f t="shared" si="49"/>
        <v>0</v>
      </c>
    </row>
    <row r="168" spans="3:29" s="189" customFormat="1" x14ac:dyDescent="0.2">
      <c r="C168" s="129">
        <v>159</v>
      </c>
      <c r="D168" s="190">
        <f t="shared" si="50"/>
        <v>45450</v>
      </c>
      <c r="E168" s="129">
        <f t="shared" si="38"/>
        <v>6</v>
      </c>
      <c r="F168" s="191">
        <f t="shared" si="39"/>
        <v>45450</v>
      </c>
      <c r="G168" s="129">
        <f t="shared" si="40"/>
        <v>23</v>
      </c>
      <c r="H168" s="129">
        <f t="shared" si="41"/>
        <v>7</v>
      </c>
      <c r="I168" s="129">
        <f t="shared" si="42"/>
        <v>5</v>
      </c>
      <c r="J168" s="192">
        <f t="shared" si="43"/>
        <v>45450</v>
      </c>
      <c r="K168" s="129" t="str" cm="1">
        <f t="array" ref="K168">IF(AND(I168&lt;7,INDEX(B_tblFTMatrix,$E168,$H168)="x"),"ft","")</f>
        <v/>
      </c>
      <c r="L168" s="129"/>
      <c r="M168" s="129"/>
      <c r="N168" s="129">
        <f t="shared" si="34"/>
        <v>1</v>
      </c>
      <c r="O168" s="129">
        <f t="shared" si="44"/>
        <v>1</v>
      </c>
      <c r="P168" s="231">
        <f t="shared" si="35"/>
        <v>8</v>
      </c>
      <c r="Q168" s="233" cm="1">
        <f t="array" ref="Q168">SUMPRODUCT((H_tblBGTage=I168)*(H_tblBGMnt=E168)*H_tblBG%)</f>
        <v>1</v>
      </c>
      <c r="R168" s="231">
        <f t="shared" si="45"/>
        <v>8</v>
      </c>
      <c r="S168" s="237"/>
      <c r="T168" s="237"/>
      <c r="U168" s="236" cm="1">
        <f t="array" ref="U168">SUMPRODUCT((JUN!M_Verweiszeile=$H168)*JUN!M_ProdTag*(JUN!M_Monat=$E168))</f>
        <v>0</v>
      </c>
      <c r="V168" s="236" cm="1">
        <f t="array" ref="V168">SUMPRODUCT((JUN!M_Verweiszeile=$H168)*JUN!M_ProdN1*(JUN!M_Monat=$E168))</f>
        <v>0</v>
      </c>
      <c r="W168" s="236" cm="1">
        <f t="array" ref="W168">SUMPRODUCT((JUN!M_Verweiszeile=$H168)*JUN!M_ProdN2*(JUN!M_Monat=$E168))</f>
        <v>0</v>
      </c>
      <c r="X168" s="236">
        <f t="shared" si="46"/>
        <v>0</v>
      </c>
      <c r="Y168" s="236">
        <f t="shared" si="36"/>
        <v>0</v>
      </c>
      <c r="Z168" s="236">
        <f t="shared" si="37"/>
        <v>0</v>
      </c>
      <c r="AA168" s="236">
        <f t="shared" si="47"/>
        <v>0</v>
      </c>
      <c r="AB168" s="236">
        <f t="shared" si="48"/>
        <v>0</v>
      </c>
      <c r="AC168" s="236">
        <f t="shared" si="49"/>
        <v>0</v>
      </c>
    </row>
    <row r="169" spans="3:29" s="189" customFormat="1" x14ac:dyDescent="0.2">
      <c r="C169" s="129">
        <v>160</v>
      </c>
      <c r="D169" s="190">
        <f t="shared" si="50"/>
        <v>45451</v>
      </c>
      <c r="E169" s="129">
        <f t="shared" si="38"/>
        <v>6</v>
      </c>
      <c r="F169" s="191">
        <f t="shared" si="39"/>
        <v>45451</v>
      </c>
      <c r="G169" s="129">
        <f t="shared" si="40"/>
        <v>23</v>
      </c>
      <c r="H169" s="129">
        <f t="shared" si="41"/>
        <v>8</v>
      </c>
      <c r="I169" s="129">
        <f t="shared" si="42"/>
        <v>6</v>
      </c>
      <c r="J169" s="192">
        <f t="shared" si="43"/>
        <v>45451</v>
      </c>
      <c r="K169" s="129" t="str" cm="1">
        <f t="array" ref="K169">IF(AND(I169&lt;7,INDEX(B_tblFTMatrix,$E169,$H169)="x"),"ft","")</f>
        <v/>
      </c>
      <c r="L169" s="129"/>
      <c r="M169" s="129"/>
      <c r="N169" s="129">
        <f t="shared" si="34"/>
        <v>0</v>
      </c>
      <c r="O169" s="129">
        <f t="shared" si="44"/>
        <v>0</v>
      </c>
      <c r="P169" s="231">
        <f t="shared" si="35"/>
        <v>0</v>
      </c>
      <c r="Q169" s="233" cm="1">
        <f t="array" ref="Q169">SUMPRODUCT((H_tblBGTage=I169)*(H_tblBGMnt=E169)*H_tblBG%)</f>
        <v>0</v>
      </c>
      <c r="R169" s="231">
        <f t="shared" si="45"/>
        <v>0</v>
      </c>
      <c r="S169" s="237"/>
      <c r="T169" s="237"/>
      <c r="U169" s="236" cm="1">
        <f t="array" ref="U169">SUMPRODUCT((JUN!M_Verweiszeile=$H169)*JUN!M_ProdTag*(JUN!M_Monat=$E169))</f>
        <v>0</v>
      </c>
      <c r="V169" s="236" cm="1">
        <f t="array" ref="V169">SUMPRODUCT((JUN!M_Verweiszeile=$H169)*JUN!M_ProdN1*(JUN!M_Monat=$E169))</f>
        <v>0</v>
      </c>
      <c r="W169" s="236" cm="1">
        <f t="array" ref="W169">SUMPRODUCT((JUN!M_Verweiszeile=$H169)*JUN!M_ProdN2*(JUN!M_Monat=$E169))</f>
        <v>0</v>
      </c>
      <c r="X169" s="236">
        <f t="shared" si="46"/>
        <v>0</v>
      </c>
      <c r="Y169" s="236">
        <f t="shared" si="36"/>
        <v>0</v>
      </c>
      <c r="Z169" s="236">
        <f t="shared" si="37"/>
        <v>0</v>
      </c>
      <c r="AA169" s="236">
        <f t="shared" si="47"/>
        <v>0</v>
      </c>
      <c r="AB169" s="236">
        <f t="shared" si="48"/>
        <v>0</v>
      </c>
      <c r="AC169" s="236">
        <f t="shared" si="49"/>
        <v>0</v>
      </c>
    </row>
    <row r="170" spans="3:29" s="189" customFormat="1" x14ac:dyDescent="0.2">
      <c r="C170" s="129">
        <v>161</v>
      </c>
      <c r="D170" s="190">
        <f t="shared" si="50"/>
        <v>45452</v>
      </c>
      <c r="E170" s="129">
        <f t="shared" si="38"/>
        <v>6</v>
      </c>
      <c r="F170" s="191">
        <f t="shared" si="39"/>
        <v>45452</v>
      </c>
      <c r="G170" s="129">
        <f t="shared" si="40"/>
        <v>23</v>
      </c>
      <c r="H170" s="129">
        <f t="shared" si="41"/>
        <v>9</v>
      </c>
      <c r="I170" s="129">
        <f t="shared" si="42"/>
        <v>7</v>
      </c>
      <c r="J170" s="192">
        <f t="shared" si="43"/>
        <v>45452</v>
      </c>
      <c r="K170" s="129" t="str" cm="1">
        <f t="array" ref="K170">IF(AND(I170&lt;7,INDEX(B_tblFTMatrix,$E170,$H170)="x"),"ft","")</f>
        <v/>
      </c>
      <c r="L170" s="129"/>
      <c r="M170" s="129"/>
      <c r="N170" s="129">
        <f t="shared" si="34"/>
        <v>0</v>
      </c>
      <c r="O170" s="129">
        <f t="shared" si="44"/>
        <v>0</v>
      </c>
      <c r="P170" s="231">
        <f t="shared" si="35"/>
        <v>0</v>
      </c>
      <c r="Q170" s="233" cm="1">
        <f t="array" ref="Q170">SUMPRODUCT((H_tblBGTage=I170)*(H_tblBGMnt=E170)*H_tblBG%)</f>
        <v>0</v>
      </c>
      <c r="R170" s="231">
        <f t="shared" si="45"/>
        <v>0</v>
      </c>
      <c r="S170" s="237"/>
      <c r="T170" s="237"/>
      <c r="U170" s="236" cm="1">
        <f t="array" ref="U170">SUMPRODUCT((JUN!M_Verweiszeile=$H170)*JUN!M_ProdTag*(JUN!M_Monat=$E170))</f>
        <v>0</v>
      </c>
      <c r="V170" s="236" cm="1">
        <f t="array" ref="V170">SUMPRODUCT((JUN!M_Verweiszeile=$H170)*JUN!M_ProdN1*(JUN!M_Monat=$E170))</f>
        <v>0</v>
      </c>
      <c r="W170" s="236" cm="1">
        <f t="array" ref="W170">SUMPRODUCT((JUN!M_Verweiszeile=$H170)*JUN!M_ProdN2*(JUN!M_Monat=$E170))</f>
        <v>0</v>
      </c>
      <c r="X170" s="236">
        <f t="shared" si="46"/>
        <v>0</v>
      </c>
      <c r="Y170" s="236">
        <f t="shared" si="36"/>
        <v>0</v>
      </c>
      <c r="Z170" s="236">
        <f t="shared" si="37"/>
        <v>0</v>
      </c>
      <c r="AA170" s="236">
        <f t="shared" si="47"/>
        <v>0</v>
      </c>
      <c r="AB170" s="236">
        <f t="shared" si="48"/>
        <v>0</v>
      </c>
      <c r="AC170" s="236">
        <f t="shared" si="49"/>
        <v>0</v>
      </c>
    </row>
    <row r="171" spans="3:29" s="189" customFormat="1" x14ac:dyDescent="0.2">
      <c r="C171" s="129">
        <v>162</v>
      </c>
      <c r="D171" s="190">
        <f t="shared" si="50"/>
        <v>45453</v>
      </c>
      <c r="E171" s="129">
        <f t="shared" si="38"/>
        <v>6</v>
      </c>
      <c r="F171" s="191">
        <f t="shared" si="39"/>
        <v>45453</v>
      </c>
      <c r="G171" s="129">
        <f t="shared" si="40"/>
        <v>24</v>
      </c>
      <c r="H171" s="129">
        <f t="shared" si="41"/>
        <v>10</v>
      </c>
      <c r="I171" s="129">
        <f t="shared" si="42"/>
        <v>1</v>
      </c>
      <c r="J171" s="192">
        <f t="shared" si="43"/>
        <v>45453</v>
      </c>
      <c r="K171" s="129" t="str" cm="1">
        <f t="array" ref="K171">IF(AND(I171&lt;7,INDEX(B_tblFTMatrix,$E171,$H171)="x"),"ft","")</f>
        <v/>
      </c>
      <c r="L171" s="129"/>
      <c r="M171" s="129"/>
      <c r="N171" s="129">
        <f t="shared" si="34"/>
        <v>1</v>
      </c>
      <c r="O171" s="129">
        <f t="shared" si="44"/>
        <v>1</v>
      </c>
      <c r="P171" s="231">
        <f t="shared" si="35"/>
        <v>8</v>
      </c>
      <c r="Q171" s="233" cm="1">
        <f t="array" ref="Q171">SUMPRODUCT((H_tblBGTage=I171)*(H_tblBGMnt=E171)*H_tblBG%)</f>
        <v>1</v>
      </c>
      <c r="R171" s="231">
        <f t="shared" si="45"/>
        <v>8</v>
      </c>
      <c r="S171" s="237"/>
      <c r="T171" s="237"/>
      <c r="U171" s="236" cm="1">
        <f t="array" ref="U171">SUMPRODUCT((JUN!M_Verweiszeile=$H171)*JUN!M_ProdTag*(JUN!M_Monat=$E171))</f>
        <v>0</v>
      </c>
      <c r="V171" s="236" cm="1">
        <f t="array" ref="V171">SUMPRODUCT((JUN!M_Verweiszeile=$H171)*JUN!M_ProdN1*(JUN!M_Monat=$E171))</f>
        <v>0</v>
      </c>
      <c r="W171" s="236" cm="1">
        <f t="array" ref="W171">SUMPRODUCT((JUN!M_Verweiszeile=$H171)*JUN!M_ProdN2*(JUN!M_Monat=$E171))</f>
        <v>0</v>
      </c>
      <c r="X171" s="236">
        <f t="shared" si="46"/>
        <v>0</v>
      </c>
      <c r="Y171" s="236">
        <f t="shared" si="36"/>
        <v>0</v>
      </c>
      <c r="Z171" s="236">
        <f t="shared" si="37"/>
        <v>0</v>
      </c>
      <c r="AA171" s="236">
        <f t="shared" si="47"/>
        <v>0</v>
      </c>
      <c r="AB171" s="236">
        <f t="shared" si="48"/>
        <v>0</v>
      </c>
      <c r="AC171" s="236">
        <f t="shared" si="49"/>
        <v>0</v>
      </c>
    </row>
    <row r="172" spans="3:29" s="189" customFormat="1" x14ac:dyDescent="0.2">
      <c r="C172" s="129">
        <v>163</v>
      </c>
      <c r="D172" s="190">
        <f t="shared" si="50"/>
        <v>45454</v>
      </c>
      <c r="E172" s="129">
        <f t="shared" si="38"/>
        <v>6</v>
      </c>
      <c r="F172" s="191">
        <f t="shared" si="39"/>
        <v>45454</v>
      </c>
      <c r="G172" s="129">
        <f t="shared" si="40"/>
        <v>24</v>
      </c>
      <c r="H172" s="129">
        <f t="shared" si="41"/>
        <v>11</v>
      </c>
      <c r="I172" s="129">
        <f t="shared" si="42"/>
        <v>2</v>
      </c>
      <c r="J172" s="192">
        <f t="shared" si="43"/>
        <v>45454</v>
      </c>
      <c r="K172" s="129" t="str" cm="1">
        <f t="array" ref="K172">IF(AND(I172&lt;7,INDEX(B_tblFTMatrix,$E172,$H172)="x"),"ft","")</f>
        <v/>
      </c>
      <c r="L172" s="129"/>
      <c r="M172" s="129"/>
      <c r="N172" s="129">
        <f t="shared" si="34"/>
        <v>1</v>
      </c>
      <c r="O172" s="129">
        <f t="shared" si="44"/>
        <v>1</v>
      </c>
      <c r="P172" s="231">
        <f t="shared" si="35"/>
        <v>8</v>
      </c>
      <c r="Q172" s="233" cm="1">
        <f t="array" ref="Q172">SUMPRODUCT((H_tblBGTage=I172)*(H_tblBGMnt=E172)*H_tblBG%)</f>
        <v>1</v>
      </c>
      <c r="R172" s="231">
        <f t="shared" si="45"/>
        <v>8</v>
      </c>
      <c r="S172" s="237"/>
      <c r="T172" s="237"/>
      <c r="U172" s="236" cm="1">
        <f t="array" ref="U172">SUMPRODUCT((JUN!M_Verweiszeile=$H172)*JUN!M_ProdTag*(JUN!M_Monat=$E172))</f>
        <v>0</v>
      </c>
      <c r="V172" s="236" cm="1">
        <f t="array" ref="V172">SUMPRODUCT((JUN!M_Verweiszeile=$H172)*JUN!M_ProdN1*(JUN!M_Monat=$E172))</f>
        <v>0</v>
      </c>
      <c r="W172" s="236" cm="1">
        <f t="array" ref="W172">SUMPRODUCT((JUN!M_Verweiszeile=$H172)*JUN!M_ProdN2*(JUN!M_Monat=$E172))</f>
        <v>0</v>
      </c>
      <c r="X172" s="236">
        <f t="shared" si="46"/>
        <v>0</v>
      </c>
      <c r="Y172" s="236">
        <f t="shared" si="36"/>
        <v>0</v>
      </c>
      <c r="Z172" s="236">
        <f t="shared" si="37"/>
        <v>0</v>
      </c>
      <c r="AA172" s="236">
        <f t="shared" si="47"/>
        <v>0</v>
      </c>
      <c r="AB172" s="236">
        <f t="shared" si="48"/>
        <v>0</v>
      </c>
      <c r="AC172" s="236">
        <f t="shared" si="49"/>
        <v>0</v>
      </c>
    </row>
    <row r="173" spans="3:29" s="189" customFormat="1" x14ac:dyDescent="0.2">
      <c r="C173" s="129">
        <v>164</v>
      </c>
      <c r="D173" s="190">
        <f t="shared" si="50"/>
        <v>45455</v>
      </c>
      <c r="E173" s="129">
        <f t="shared" si="38"/>
        <v>6</v>
      </c>
      <c r="F173" s="191">
        <f t="shared" si="39"/>
        <v>45455</v>
      </c>
      <c r="G173" s="129">
        <f t="shared" si="40"/>
        <v>24</v>
      </c>
      <c r="H173" s="129">
        <f t="shared" si="41"/>
        <v>12</v>
      </c>
      <c r="I173" s="129">
        <f t="shared" si="42"/>
        <v>3</v>
      </c>
      <c r="J173" s="192">
        <f t="shared" si="43"/>
        <v>45455</v>
      </c>
      <c r="K173" s="129" t="str" cm="1">
        <f t="array" ref="K173">IF(AND(I173&lt;7,INDEX(B_tblFTMatrix,$E173,$H173)="x"),"ft","")</f>
        <v/>
      </c>
      <c r="L173" s="129"/>
      <c r="M173" s="129"/>
      <c r="N173" s="129">
        <f t="shared" si="34"/>
        <v>1</v>
      </c>
      <c r="O173" s="129">
        <f t="shared" si="44"/>
        <v>1</v>
      </c>
      <c r="P173" s="231">
        <f t="shared" si="35"/>
        <v>8</v>
      </c>
      <c r="Q173" s="233" cm="1">
        <f t="array" ref="Q173">SUMPRODUCT((H_tblBGTage=I173)*(H_tblBGMnt=E173)*H_tblBG%)</f>
        <v>1</v>
      </c>
      <c r="R173" s="231">
        <f t="shared" si="45"/>
        <v>8</v>
      </c>
      <c r="S173" s="237"/>
      <c r="T173" s="237"/>
      <c r="U173" s="236" cm="1">
        <f t="array" ref="U173">SUMPRODUCT((JUN!M_Verweiszeile=$H173)*JUN!M_ProdTag*(JUN!M_Monat=$E173))</f>
        <v>0</v>
      </c>
      <c r="V173" s="236" cm="1">
        <f t="array" ref="V173">SUMPRODUCT((JUN!M_Verweiszeile=$H173)*JUN!M_ProdN1*(JUN!M_Monat=$E173))</f>
        <v>0</v>
      </c>
      <c r="W173" s="236" cm="1">
        <f t="array" ref="W173">SUMPRODUCT((JUN!M_Verweiszeile=$H173)*JUN!M_ProdN2*(JUN!M_Monat=$E173))</f>
        <v>0</v>
      </c>
      <c r="X173" s="236">
        <f t="shared" si="46"/>
        <v>0</v>
      </c>
      <c r="Y173" s="236">
        <f t="shared" si="36"/>
        <v>0</v>
      </c>
      <c r="Z173" s="236">
        <f t="shared" si="37"/>
        <v>0</v>
      </c>
      <c r="AA173" s="236">
        <f t="shared" si="47"/>
        <v>0</v>
      </c>
      <c r="AB173" s="236">
        <f t="shared" si="48"/>
        <v>0</v>
      </c>
      <c r="AC173" s="236">
        <f t="shared" si="49"/>
        <v>0</v>
      </c>
    </row>
    <row r="174" spans="3:29" s="189" customFormat="1" x14ac:dyDescent="0.2">
      <c r="C174" s="129">
        <v>165</v>
      </c>
      <c r="D174" s="190">
        <f t="shared" si="50"/>
        <v>45456</v>
      </c>
      <c r="E174" s="129">
        <f t="shared" si="38"/>
        <v>6</v>
      </c>
      <c r="F174" s="191">
        <f t="shared" si="39"/>
        <v>45456</v>
      </c>
      <c r="G174" s="129">
        <f t="shared" si="40"/>
        <v>24</v>
      </c>
      <c r="H174" s="129">
        <f t="shared" si="41"/>
        <v>13</v>
      </c>
      <c r="I174" s="129">
        <f t="shared" si="42"/>
        <v>4</v>
      </c>
      <c r="J174" s="192">
        <f t="shared" si="43"/>
        <v>45456</v>
      </c>
      <c r="K174" s="129" t="str" cm="1">
        <f t="array" ref="K174">IF(AND(I174&lt;7,INDEX(B_tblFTMatrix,$E174,$H174)="x"),"ft","")</f>
        <v/>
      </c>
      <c r="L174" s="129"/>
      <c r="M174" s="129"/>
      <c r="N174" s="129">
        <f t="shared" si="34"/>
        <v>1</v>
      </c>
      <c r="O174" s="129">
        <f t="shared" si="44"/>
        <v>1</v>
      </c>
      <c r="P174" s="231">
        <f t="shared" si="35"/>
        <v>8</v>
      </c>
      <c r="Q174" s="233" cm="1">
        <f t="array" ref="Q174">SUMPRODUCT((H_tblBGTage=I174)*(H_tblBGMnt=E174)*H_tblBG%)</f>
        <v>1</v>
      </c>
      <c r="R174" s="231">
        <f t="shared" si="45"/>
        <v>8</v>
      </c>
      <c r="S174" s="237"/>
      <c r="T174" s="237"/>
      <c r="U174" s="236" cm="1">
        <f t="array" ref="U174">SUMPRODUCT((JUN!M_Verweiszeile=$H174)*JUN!M_ProdTag*(JUN!M_Monat=$E174))</f>
        <v>0</v>
      </c>
      <c r="V174" s="236" cm="1">
        <f t="array" ref="V174">SUMPRODUCT((JUN!M_Verweiszeile=$H174)*JUN!M_ProdN1*(JUN!M_Monat=$E174))</f>
        <v>0</v>
      </c>
      <c r="W174" s="236" cm="1">
        <f t="array" ref="W174">SUMPRODUCT((JUN!M_Verweiszeile=$H174)*JUN!M_ProdN2*(JUN!M_Monat=$E174))</f>
        <v>0</v>
      </c>
      <c r="X174" s="236">
        <f t="shared" si="46"/>
        <v>0</v>
      </c>
      <c r="Y174" s="236">
        <f t="shared" si="36"/>
        <v>0</v>
      </c>
      <c r="Z174" s="236">
        <f t="shared" si="37"/>
        <v>0</v>
      </c>
      <c r="AA174" s="236">
        <f t="shared" si="47"/>
        <v>0</v>
      </c>
      <c r="AB174" s="236">
        <f t="shared" si="48"/>
        <v>0</v>
      </c>
      <c r="AC174" s="236">
        <f t="shared" si="49"/>
        <v>0</v>
      </c>
    </row>
    <row r="175" spans="3:29" s="189" customFormat="1" x14ac:dyDescent="0.2">
      <c r="C175" s="129">
        <v>166</v>
      </c>
      <c r="D175" s="190">
        <f t="shared" si="50"/>
        <v>45457</v>
      </c>
      <c r="E175" s="129">
        <f t="shared" si="38"/>
        <v>6</v>
      </c>
      <c r="F175" s="191">
        <f t="shared" si="39"/>
        <v>45457</v>
      </c>
      <c r="G175" s="129">
        <f t="shared" si="40"/>
        <v>24</v>
      </c>
      <c r="H175" s="129">
        <f t="shared" si="41"/>
        <v>14</v>
      </c>
      <c r="I175" s="129">
        <f t="shared" si="42"/>
        <v>5</v>
      </c>
      <c r="J175" s="192">
        <f t="shared" si="43"/>
        <v>45457</v>
      </c>
      <c r="K175" s="129" t="str" cm="1">
        <f t="array" ref="K175">IF(AND(I175&lt;7,INDEX(B_tblFTMatrix,$E175,$H175)="x"),"ft","")</f>
        <v/>
      </c>
      <c r="L175" s="129"/>
      <c r="M175" s="129"/>
      <c r="N175" s="129">
        <f t="shared" si="34"/>
        <v>1</v>
      </c>
      <c r="O175" s="129">
        <f t="shared" si="44"/>
        <v>1</v>
      </c>
      <c r="P175" s="231">
        <f t="shared" si="35"/>
        <v>8</v>
      </c>
      <c r="Q175" s="233" cm="1">
        <f t="array" ref="Q175">SUMPRODUCT((H_tblBGTage=I175)*(H_tblBGMnt=E175)*H_tblBG%)</f>
        <v>1</v>
      </c>
      <c r="R175" s="231">
        <f t="shared" si="45"/>
        <v>8</v>
      </c>
      <c r="S175" s="237"/>
      <c r="T175" s="237"/>
      <c r="U175" s="236" cm="1">
        <f t="array" ref="U175">SUMPRODUCT((JUN!M_Verweiszeile=$H175)*JUN!M_ProdTag*(JUN!M_Monat=$E175))</f>
        <v>0</v>
      </c>
      <c r="V175" s="236" cm="1">
        <f t="array" ref="V175">SUMPRODUCT((JUN!M_Verweiszeile=$H175)*JUN!M_ProdN1*(JUN!M_Monat=$E175))</f>
        <v>0</v>
      </c>
      <c r="W175" s="236" cm="1">
        <f t="array" ref="W175">SUMPRODUCT((JUN!M_Verweiszeile=$H175)*JUN!M_ProdN2*(JUN!M_Monat=$E175))</f>
        <v>0</v>
      </c>
      <c r="X175" s="236">
        <f t="shared" si="46"/>
        <v>0</v>
      </c>
      <c r="Y175" s="236">
        <f t="shared" si="36"/>
        <v>0</v>
      </c>
      <c r="Z175" s="236">
        <f t="shared" si="37"/>
        <v>0</v>
      </c>
      <c r="AA175" s="236">
        <f t="shared" si="47"/>
        <v>0</v>
      </c>
      <c r="AB175" s="236">
        <f t="shared" si="48"/>
        <v>0</v>
      </c>
      <c r="AC175" s="236">
        <f t="shared" si="49"/>
        <v>0</v>
      </c>
    </row>
    <row r="176" spans="3:29" s="189" customFormat="1" x14ac:dyDescent="0.2">
      <c r="C176" s="129">
        <v>167</v>
      </c>
      <c r="D176" s="190">
        <f t="shared" si="50"/>
        <v>45458</v>
      </c>
      <c r="E176" s="129">
        <f t="shared" si="38"/>
        <v>6</v>
      </c>
      <c r="F176" s="191">
        <f t="shared" si="39"/>
        <v>45458</v>
      </c>
      <c r="G176" s="129">
        <f t="shared" si="40"/>
        <v>24</v>
      </c>
      <c r="H176" s="129">
        <f t="shared" si="41"/>
        <v>15</v>
      </c>
      <c r="I176" s="129">
        <f t="shared" si="42"/>
        <v>6</v>
      </c>
      <c r="J176" s="192">
        <f t="shared" si="43"/>
        <v>45458</v>
      </c>
      <c r="K176" s="129" t="str" cm="1">
        <f t="array" ref="K176">IF(AND(I176&lt;7,INDEX(B_tblFTMatrix,$E176,$H176)="x"),"ft","")</f>
        <v/>
      </c>
      <c r="L176" s="129"/>
      <c r="M176" s="129"/>
      <c r="N176" s="129">
        <f t="shared" si="34"/>
        <v>0</v>
      </c>
      <c r="O176" s="129">
        <f t="shared" si="44"/>
        <v>0</v>
      </c>
      <c r="P176" s="231">
        <f t="shared" si="35"/>
        <v>0</v>
      </c>
      <c r="Q176" s="233" cm="1">
        <f t="array" ref="Q176">SUMPRODUCT((H_tblBGTage=I176)*(H_tblBGMnt=E176)*H_tblBG%)</f>
        <v>0</v>
      </c>
      <c r="R176" s="231">
        <f t="shared" si="45"/>
        <v>0</v>
      </c>
      <c r="S176" s="237"/>
      <c r="T176" s="237"/>
      <c r="U176" s="236" cm="1">
        <f t="array" ref="U176">SUMPRODUCT((JUN!M_Verweiszeile=$H176)*JUN!M_ProdTag*(JUN!M_Monat=$E176))</f>
        <v>0</v>
      </c>
      <c r="V176" s="236" cm="1">
        <f t="array" ref="V176">SUMPRODUCT((JUN!M_Verweiszeile=$H176)*JUN!M_ProdN1*(JUN!M_Monat=$E176))</f>
        <v>0</v>
      </c>
      <c r="W176" s="236" cm="1">
        <f t="array" ref="W176">SUMPRODUCT((JUN!M_Verweiszeile=$H176)*JUN!M_ProdN2*(JUN!M_Monat=$E176))</f>
        <v>0</v>
      </c>
      <c r="X176" s="236">
        <f t="shared" si="46"/>
        <v>0</v>
      </c>
      <c r="Y176" s="236">
        <f t="shared" si="36"/>
        <v>0</v>
      </c>
      <c r="Z176" s="236">
        <f t="shared" si="37"/>
        <v>0</v>
      </c>
      <c r="AA176" s="236">
        <f t="shared" si="47"/>
        <v>0</v>
      </c>
      <c r="AB176" s="236">
        <f t="shared" si="48"/>
        <v>0</v>
      </c>
      <c r="AC176" s="236">
        <f t="shared" si="49"/>
        <v>0</v>
      </c>
    </row>
    <row r="177" spans="3:29" s="189" customFormat="1" x14ac:dyDescent="0.2">
      <c r="C177" s="129">
        <v>168</v>
      </c>
      <c r="D177" s="190">
        <f t="shared" si="50"/>
        <v>45459</v>
      </c>
      <c r="E177" s="129">
        <f t="shared" si="38"/>
        <v>6</v>
      </c>
      <c r="F177" s="191">
        <f t="shared" si="39"/>
        <v>45459</v>
      </c>
      <c r="G177" s="129">
        <f t="shared" si="40"/>
        <v>24</v>
      </c>
      <c r="H177" s="129">
        <f t="shared" si="41"/>
        <v>16</v>
      </c>
      <c r="I177" s="129">
        <f t="shared" si="42"/>
        <v>7</v>
      </c>
      <c r="J177" s="192">
        <f t="shared" si="43"/>
        <v>45459</v>
      </c>
      <c r="K177" s="129" t="str" cm="1">
        <f t="array" ref="K177">IF(AND(I177&lt;7,INDEX(B_tblFTMatrix,$E177,$H177)="x"),"ft","")</f>
        <v/>
      </c>
      <c r="L177" s="129"/>
      <c r="M177" s="129"/>
      <c r="N177" s="129">
        <f t="shared" si="34"/>
        <v>0</v>
      </c>
      <c r="O177" s="129">
        <f t="shared" si="44"/>
        <v>0</v>
      </c>
      <c r="P177" s="231">
        <f t="shared" si="35"/>
        <v>0</v>
      </c>
      <c r="Q177" s="233" cm="1">
        <f t="array" ref="Q177">SUMPRODUCT((H_tblBGTage=I177)*(H_tblBGMnt=E177)*H_tblBG%)</f>
        <v>0</v>
      </c>
      <c r="R177" s="231">
        <f t="shared" si="45"/>
        <v>0</v>
      </c>
      <c r="S177" s="237"/>
      <c r="T177" s="237"/>
      <c r="U177" s="236" cm="1">
        <f t="array" ref="U177">SUMPRODUCT((JUN!M_Verweiszeile=$H177)*JUN!M_ProdTag*(JUN!M_Monat=$E177))</f>
        <v>0</v>
      </c>
      <c r="V177" s="236" cm="1">
        <f t="array" ref="V177">SUMPRODUCT((JUN!M_Verweiszeile=$H177)*JUN!M_ProdN1*(JUN!M_Monat=$E177))</f>
        <v>0</v>
      </c>
      <c r="W177" s="236" cm="1">
        <f t="array" ref="W177">SUMPRODUCT((JUN!M_Verweiszeile=$H177)*JUN!M_ProdN2*(JUN!M_Monat=$E177))</f>
        <v>0</v>
      </c>
      <c r="X177" s="236">
        <f t="shared" si="46"/>
        <v>0</v>
      </c>
      <c r="Y177" s="236">
        <f t="shared" si="36"/>
        <v>0</v>
      </c>
      <c r="Z177" s="236">
        <f t="shared" si="37"/>
        <v>0</v>
      </c>
      <c r="AA177" s="236">
        <f t="shared" si="47"/>
        <v>0</v>
      </c>
      <c r="AB177" s="236">
        <f t="shared" si="48"/>
        <v>0</v>
      </c>
      <c r="AC177" s="236">
        <f t="shared" si="49"/>
        <v>0</v>
      </c>
    </row>
    <row r="178" spans="3:29" s="189" customFormat="1" x14ac:dyDescent="0.2">
      <c r="C178" s="129">
        <v>169</v>
      </c>
      <c r="D178" s="190">
        <f t="shared" si="50"/>
        <v>45460</v>
      </c>
      <c r="E178" s="129">
        <f t="shared" si="38"/>
        <v>6</v>
      </c>
      <c r="F178" s="191">
        <f t="shared" si="39"/>
        <v>45460</v>
      </c>
      <c r="G178" s="129">
        <f t="shared" si="40"/>
        <v>25</v>
      </c>
      <c r="H178" s="129">
        <f t="shared" si="41"/>
        <v>17</v>
      </c>
      <c r="I178" s="129">
        <f t="shared" si="42"/>
        <v>1</v>
      </c>
      <c r="J178" s="192">
        <f t="shared" si="43"/>
        <v>45460</v>
      </c>
      <c r="K178" s="129" t="str" cm="1">
        <f t="array" ref="K178">IF(AND(I178&lt;7,INDEX(B_tblFTMatrix,$E178,$H178)="x"),"ft","")</f>
        <v/>
      </c>
      <c r="L178" s="129"/>
      <c r="M178" s="129"/>
      <c r="N178" s="129">
        <f t="shared" si="34"/>
        <v>1</v>
      </c>
      <c r="O178" s="129">
        <f t="shared" si="44"/>
        <v>1</v>
      </c>
      <c r="P178" s="231">
        <f t="shared" si="35"/>
        <v>8</v>
      </c>
      <c r="Q178" s="233" cm="1">
        <f t="array" ref="Q178">SUMPRODUCT((H_tblBGTage=I178)*(H_tblBGMnt=E178)*H_tblBG%)</f>
        <v>1</v>
      </c>
      <c r="R178" s="231">
        <f t="shared" si="45"/>
        <v>8</v>
      </c>
      <c r="S178" s="237"/>
      <c r="T178" s="237"/>
      <c r="U178" s="236" cm="1">
        <f t="array" ref="U178">SUMPRODUCT((JUN!M_Verweiszeile=$H178)*JUN!M_ProdTag*(JUN!M_Monat=$E178))</f>
        <v>0</v>
      </c>
      <c r="V178" s="236" cm="1">
        <f t="array" ref="V178">SUMPRODUCT((JUN!M_Verweiszeile=$H178)*JUN!M_ProdN1*(JUN!M_Monat=$E178))</f>
        <v>0</v>
      </c>
      <c r="W178" s="236" cm="1">
        <f t="array" ref="W178">SUMPRODUCT((JUN!M_Verweiszeile=$H178)*JUN!M_ProdN2*(JUN!M_Monat=$E178))</f>
        <v>0</v>
      </c>
      <c r="X178" s="236">
        <f t="shared" si="46"/>
        <v>0</v>
      </c>
      <c r="Y178" s="236">
        <f t="shared" si="36"/>
        <v>0</v>
      </c>
      <c r="Z178" s="236">
        <f t="shared" si="37"/>
        <v>0</v>
      </c>
      <c r="AA178" s="236">
        <f t="shared" si="47"/>
        <v>0</v>
      </c>
      <c r="AB178" s="236">
        <f t="shared" si="48"/>
        <v>0</v>
      </c>
      <c r="AC178" s="236">
        <f t="shared" si="49"/>
        <v>0</v>
      </c>
    </row>
    <row r="179" spans="3:29" s="189" customFormat="1" x14ac:dyDescent="0.2">
      <c r="C179" s="129">
        <v>170</v>
      </c>
      <c r="D179" s="190">
        <f t="shared" si="50"/>
        <v>45461</v>
      </c>
      <c r="E179" s="129">
        <f t="shared" si="38"/>
        <v>6</v>
      </c>
      <c r="F179" s="191">
        <f t="shared" si="39"/>
        <v>45461</v>
      </c>
      <c r="G179" s="129">
        <f t="shared" si="40"/>
        <v>25</v>
      </c>
      <c r="H179" s="129">
        <f t="shared" si="41"/>
        <v>18</v>
      </c>
      <c r="I179" s="129">
        <f t="shared" si="42"/>
        <v>2</v>
      </c>
      <c r="J179" s="192">
        <f t="shared" si="43"/>
        <v>45461</v>
      </c>
      <c r="K179" s="129" t="str" cm="1">
        <f t="array" ref="K179">IF(AND(I179&lt;7,INDEX(B_tblFTMatrix,$E179,$H179)="x"),"ft","")</f>
        <v/>
      </c>
      <c r="L179" s="129"/>
      <c r="M179" s="129"/>
      <c r="N179" s="129">
        <f t="shared" si="34"/>
        <v>1</v>
      </c>
      <c r="O179" s="129">
        <f t="shared" si="44"/>
        <v>1</v>
      </c>
      <c r="P179" s="231">
        <f t="shared" si="35"/>
        <v>8</v>
      </c>
      <c r="Q179" s="233" cm="1">
        <f t="array" ref="Q179">SUMPRODUCT((H_tblBGTage=I179)*(H_tblBGMnt=E179)*H_tblBG%)</f>
        <v>1</v>
      </c>
      <c r="R179" s="231">
        <f t="shared" si="45"/>
        <v>8</v>
      </c>
      <c r="S179" s="237"/>
      <c r="T179" s="237"/>
      <c r="U179" s="236" cm="1">
        <f t="array" ref="U179">SUMPRODUCT((JUN!M_Verweiszeile=$H179)*JUN!M_ProdTag*(JUN!M_Monat=$E179))</f>
        <v>0</v>
      </c>
      <c r="V179" s="236" cm="1">
        <f t="array" ref="V179">SUMPRODUCT((JUN!M_Verweiszeile=$H179)*JUN!M_ProdN1*(JUN!M_Monat=$E179))</f>
        <v>0</v>
      </c>
      <c r="W179" s="236" cm="1">
        <f t="array" ref="W179">SUMPRODUCT((JUN!M_Verweiszeile=$H179)*JUN!M_ProdN2*(JUN!M_Monat=$E179))</f>
        <v>0</v>
      </c>
      <c r="X179" s="236">
        <f t="shared" si="46"/>
        <v>0</v>
      </c>
      <c r="Y179" s="236">
        <f t="shared" si="36"/>
        <v>0</v>
      </c>
      <c r="Z179" s="236">
        <f t="shared" si="37"/>
        <v>0</v>
      </c>
      <c r="AA179" s="236">
        <f t="shared" si="47"/>
        <v>0</v>
      </c>
      <c r="AB179" s="236">
        <f t="shared" si="48"/>
        <v>0</v>
      </c>
      <c r="AC179" s="236">
        <f t="shared" si="49"/>
        <v>0</v>
      </c>
    </row>
    <row r="180" spans="3:29" s="189" customFormat="1" x14ac:dyDescent="0.2">
      <c r="C180" s="129">
        <v>171</v>
      </c>
      <c r="D180" s="190">
        <f t="shared" si="50"/>
        <v>45462</v>
      </c>
      <c r="E180" s="129">
        <f t="shared" si="38"/>
        <v>6</v>
      </c>
      <c r="F180" s="191">
        <f t="shared" si="39"/>
        <v>45462</v>
      </c>
      <c r="G180" s="129">
        <f t="shared" si="40"/>
        <v>25</v>
      </c>
      <c r="H180" s="129">
        <f t="shared" si="41"/>
        <v>19</v>
      </c>
      <c r="I180" s="129">
        <f t="shared" si="42"/>
        <v>3</v>
      </c>
      <c r="J180" s="192">
        <f t="shared" si="43"/>
        <v>45462</v>
      </c>
      <c r="K180" s="129" t="str" cm="1">
        <f t="array" ref="K180">IF(AND(I180&lt;7,INDEX(B_tblFTMatrix,$E180,$H180)="x"),"ft","")</f>
        <v/>
      </c>
      <c r="L180" s="129"/>
      <c r="M180" s="129"/>
      <c r="N180" s="129">
        <f t="shared" si="34"/>
        <v>1</v>
      </c>
      <c r="O180" s="129">
        <f t="shared" si="44"/>
        <v>1</v>
      </c>
      <c r="P180" s="231">
        <f t="shared" si="35"/>
        <v>8</v>
      </c>
      <c r="Q180" s="233" cm="1">
        <f t="array" ref="Q180">SUMPRODUCT((H_tblBGTage=I180)*(H_tblBGMnt=E180)*H_tblBG%)</f>
        <v>1</v>
      </c>
      <c r="R180" s="231">
        <f t="shared" si="45"/>
        <v>8</v>
      </c>
      <c r="S180" s="237"/>
      <c r="T180" s="237"/>
      <c r="U180" s="236" cm="1">
        <f t="array" ref="U180">SUMPRODUCT((JUN!M_Verweiszeile=$H180)*JUN!M_ProdTag*(JUN!M_Monat=$E180))</f>
        <v>0</v>
      </c>
      <c r="V180" s="236" cm="1">
        <f t="array" ref="V180">SUMPRODUCT((JUN!M_Verweiszeile=$H180)*JUN!M_ProdN1*(JUN!M_Monat=$E180))</f>
        <v>0</v>
      </c>
      <c r="W180" s="236" cm="1">
        <f t="array" ref="W180">SUMPRODUCT((JUN!M_Verweiszeile=$H180)*JUN!M_ProdN2*(JUN!M_Monat=$E180))</f>
        <v>0</v>
      </c>
      <c r="X180" s="236">
        <f t="shared" si="46"/>
        <v>0</v>
      </c>
      <c r="Y180" s="236">
        <f t="shared" si="36"/>
        <v>0</v>
      </c>
      <c r="Z180" s="236">
        <f t="shared" si="37"/>
        <v>0</v>
      </c>
      <c r="AA180" s="236">
        <f t="shared" si="47"/>
        <v>0</v>
      </c>
      <c r="AB180" s="236">
        <f t="shared" si="48"/>
        <v>0</v>
      </c>
      <c r="AC180" s="236">
        <f t="shared" si="49"/>
        <v>0</v>
      </c>
    </row>
    <row r="181" spans="3:29" s="189" customFormat="1" x14ac:dyDescent="0.2">
      <c r="C181" s="129">
        <v>172</v>
      </c>
      <c r="D181" s="190">
        <f t="shared" si="50"/>
        <v>45463</v>
      </c>
      <c r="E181" s="129">
        <f t="shared" si="38"/>
        <v>6</v>
      </c>
      <c r="F181" s="191">
        <f t="shared" si="39"/>
        <v>45463</v>
      </c>
      <c r="G181" s="129">
        <f t="shared" si="40"/>
        <v>25</v>
      </c>
      <c r="H181" s="129">
        <f t="shared" si="41"/>
        <v>20</v>
      </c>
      <c r="I181" s="129">
        <f t="shared" si="42"/>
        <v>4</v>
      </c>
      <c r="J181" s="192">
        <f t="shared" si="43"/>
        <v>45463</v>
      </c>
      <c r="K181" s="129" t="str" cm="1">
        <f t="array" ref="K181">IF(AND(I181&lt;7,INDEX(B_tblFTMatrix,$E181,$H181)="x"),"ft","")</f>
        <v/>
      </c>
      <c r="L181" s="129"/>
      <c r="M181" s="129"/>
      <c r="N181" s="129">
        <f t="shared" si="34"/>
        <v>1</v>
      </c>
      <c r="O181" s="129">
        <f t="shared" si="44"/>
        <v>1</v>
      </c>
      <c r="P181" s="231">
        <f t="shared" si="35"/>
        <v>8</v>
      </c>
      <c r="Q181" s="233" cm="1">
        <f t="array" ref="Q181">SUMPRODUCT((H_tblBGTage=I181)*(H_tblBGMnt=E181)*H_tblBG%)</f>
        <v>1</v>
      </c>
      <c r="R181" s="231">
        <f t="shared" si="45"/>
        <v>8</v>
      </c>
      <c r="S181" s="237"/>
      <c r="T181" s="237"/>
      <c r="U181" s="236" cm="1">
        <f t="array" ref="U181">SUMPRODUCT((JUN!M_Verweiszeile=$H181)*JUN!M_ProdTag*(JUN!M_Monat=$E181))</f>
        <v>0</v>
      </c>
      <c r="V181" s="236" cm="1">
        <f t="array" ref="V181">SUMPRODUCT((JUN!M_Verweiszeile=$H181)*JUN!M_ProdN1*(JUN!M_Monat=$E181))</f>
        <v>0</v>
      </c>
      <c r="W181" s="236" cm="1">
        <f t="array" ref="W181">SUMPRODUCT((JUN!M_Verweiszeile=$H181)*JUN!M_ProdN2*(JUN!M_Monat=$E181))</f>
        <v>0</v>
      </c>
      <c r="X181" s="236">
        <f t="shared" si="46"/>
        <v>0</v>
      </c>
      <c r="Y181" s="236">
        <f t="shared" si="36"/>
        <v>0</v>
      </c>
      <c r="Z181" s="236">
        <f t="shared" si="37"/>
        <v>0</v>
      </c>
      <c r="AA181" s="236">
        <f t="shared" si="47"/>
        <v>0</v>
      </c>
      <c r="AB181" s="236">
        <f t="shared" si="48"/>
        <v>0</v>
      </c>
      <c r="AC181" s="236">
        <f t="shared" si="49"/>
        <v>0</v>
      </c>
    </row>
    <row r="182" spans="3:29" s="189" customFormat="1" x14ac:dyDescent="0.2">
      <c r="C182" s="129">
        <v>173</v>
      </c>
      <c r="D182" s="190">
        <f t="shared" si="50"/>
        <v>45464</v>
      </c>
      <c r="E182" s="129">
        <f t="shared" si="38"/>
        <v>6</v>
      </c>
      <c r="F182" s="191">
        <f t="shared" si="39"/>
        <v>45464</v>
      </c>
      <c r="G182" s="129">
        <f t="shared" si="40"/>
        <v>25</v>
      </c>
      <c r="H182" s="129">
        <f t="shared" si="41"/>
        <v>21</v>
      </c>
      <c r="I182" s="129">
        <f t="shared" si="42"/>
        <v>5</v>
      </c>
      <c r="J182" s="192">
        <f t="shared" si="43"/>
        <v>45464</v>
      </c>
      <c r="K182" s="129" t="str" cm="1">
        <f t="array" ref="K182">IF(AND(I182&lt;7,INDEX(B_tblFTMatrix,$E182,$H182)="x"),"ft","")</f>
        <v/>
      </c>
      <c r="L182" s="129"/>
      <c r="M182" s="129"/>
      <c r="N182" s="129">
        <f t="shared" si="34"/>
        <v>1</v>
      </c>
      <c r="O182" s="129">
        <f t="shared" si="44"/>
        <v>1</v>
      </c>
      <c r="P182" s="231">
        <f t="shared" si="35"/>
        <v>8</v>
      </c>
      <c r="Q182" s="233" cm="1">
        <f t="array" ref="Q182">SUMPRODUCT((H_tblBGTage=I182)*(H_tblBGMnt=E182)*H_tblBG%)</f>
        <v>1</v>
      </c>
      <c r="R182" s="231">
        <f t="shared" si="45"/>
        <v>8</v>
      </c>
      <c r="S182" s="237"/>
      <c r="T182" s="237"/>
      <c r="U182" s="236" cm="1">
        <f t="array" ref="U182">SUMPRODUCT((JUN!M_Verweiszeile=$H182)*JUN!M_ProdTag*(JUN!M_Monat=$E182))</f>
        <v>0</v>
      </c>
      <c r="V182" s="236" cm="1">
        <f t="array" ref="V182">SUMPRODUCT((JUN!M_Verweiszeile=$H182)*JUN!M_ProdN1*(JUN!M_Monat=$E182))</f>
        <v>0</v>
      </c>
      <c r="W182" s="236" cm="1">
        <f t="array" ref="W182">SUMPRODUCT((JUN!M_Verweiszeile=$H182)*JUN!M_ProdN2*(JUN!M_Monat=$E182))</f>
        <v>0</v>
      </c>
      <c r="X182" s="236">
        <f t="shared" si="46"/>
        <v>0</v>
      </c>
      <c r="Y182" s="236">
        <f t="shared" si="36"/>
        <v>0</v>
      </c>
      <c r="Z182" s="236">
        <f t="shared" si="37"/>
        <v>0</v>
      </c>
      <c r="AA182" s="236">
        <f t="shared" si="47"/>
        <v>0</v>
      </c>
      <c r="AB182" s="236">
        <f t="shared" si="48"/>
        <v>0</v>
      </c>
      <c r="AC182" s="236">
        <f t="shared" si="49"/>
        <v>0</v>
      </c>
    </row>
    <row r="183" spans="3:29" s="189" customFormat="1" x14ac:dyDescent="0.2">
      <c r="C183" s="129">
        <v>174</v>
      </c>
      <c r="D183" s="190">
        <f t="shared" si="50"/>
        <v>45465</v>
      </c>
      <c r="E183" s="129">
        <f t="shared" si="38"/>
        <v>6</v>
      </c>
      <c r="F183" s="191">
        <f t="shared" si="39"/>
        <v>45465</v>
      </c>
      <c r="G183" s="129">
        <f t="shared" si="40"/>
        <v>25</v>
      </c>
      <c r="H183" s="129">
        <f t="shared" si="41"/>
        <v>22</v>
      </c>
      <c r="I183" s="129">
        <f t="shared" si="42"/>
        <v>6</v>
      </c>
      <c r="J183" s="192">
        <f t="shared" si="43"/>
        <v>45465</v>
      </c>
      <c r="K183" s="129" t="str" cm="1">
        <f t="array" ref="K183">IF(AND(I183&lt;7,INDEX(B_tblFTMatrix,$E183,$H183)="x"),"ft","")</f>
        <v/>
      </c>
      <c r="L183" s="129"/>
      <c r="M183" s="129"/>
      <c r="N183" s="129">
        <f t="shared" si="34"/>
        <v>0</v>
      </c>
      <c r="O183" s="129">
        <f t="shared" si="44"/>
        <v>0</v>
      </c>
      <c r="P183" s="231">
        <f t="shared" si="35"/>
        <v>0</v>
      </c>
      <c r="Q183" s="233" cm="1">
        <f t="array" ref="Q183">SUMPRODUCT((H_tblBGTage=I183)*(H_tblBGMnt=E183)*H_tblBG%)</f>
        <v>0</v>
      </c>
      <c r="R183" s="231">
        <f t="shared" si="45"/>
        <v>0</v>
      </c>
      <c r="S183" s="237"/>
      <c r="T183" s="237"/>
      <c r="U183" s="236" cm="1">
        <f t="array" ref="U183">SUMPRODUCT((JUN!M_Verweiszeile=$H183)*JUN!M_ProdTag*(JUN!M_Monat=$E183))</f>
        <v>0</v>
      </c>
      <c r="V183" s="236" cm="1">
        <f t="array" ref="V183">SUMPRODUCT((JUN!M_Verweiszeile=$H183)*JUN!M_ProdN1*(JUN!M_Monat=$E183))</f>
        <v>0</v>
      </c>
      <c r="W183" s="236" cm="1">
        <f t="array" ref="W183">SUMPRODUCT((JUN!M_Verweiszeile=$H183)*JUN!M_ProdN2*(JUN!M_Monat=$E183))</f>
        <v>0</v>
      </c>
      <c r="X183" s="236">
        <f t="shared" si="46"/>
        <v>0</v>
      </c>
      <c r="Y183" s="236">
        <f t="shared" si="36"/>
        <v>0</v>
      </c>
      <c r="Z183" s="236">
        <f t="shared" si="37"/>
        <v>0</v>
      </c>
      <c r="AA183" s="236">
        <f t="shared" si="47"/>
        <v>0</v>
      </c>
      <c r="AB183" s="236">
        <f t="shared" si="48"/>
        <v>0</v>
      </c>
      <c r="AC183" s="236">
        <f t="shared" si="49"/>
        <v>0</v>
      </c>
    </row>
    <row r="184" spans="3:29" s="189" customFormat="1" x14ac:dyDescent="0.2">
      <c r="C184" s="129">
        <v>175</v>
      </c>
      <c r="D184" s="190">
        <f t="shared" si="50"/>
        <v>45466</v>
      </c>
      <c r="E184" s="129">
        <f t="shared" si="38"/>
        <v>6</v>
      </c>
      <c r="F184" s="191">
        <f t="shared" si="39"/>
        <v>45466</v>
      </c>
      <c r="G184" s="129">
        <f t="shared" si="40"/>
        <v>25</v>
      </c>
      <c r="H184" s="129">
        <f t="shared" si="41"/>
        <v>23</v>
      </c>
      <c r="I184" s="129">
        <f t="shared" si="42"/>
        <v>7</v>
      </c>
      <c r="J184" s="192">
        <f t="shared" si="43"/>
        <v>45466</v>
      </c>
      <c r="K184" s="129" t="str" cm="1">
        <f t="array" ref="K184">IF(AND(I184&lt;7,INDEX(B_tblFTMatrix,$E184,$H184)="x"),"ft","")</f>
        <v/>
      </c>
      <c r="L184" s="129"/>
      <c r="M184" s="129"/>
      <c r="N184" s="129">
        <f t="shared" si="34"/>
        <v>0</v>
      </c>
      <c r="O184" s="129">
        <f t="shared" si="44"/>
        <v>0</v>
      </c>
      <c r="P184" s="231">
        <f t="shared" si="35"/>
        <v>0</v>
      </c>
      <c r="Q184" s="233" cm="1">
        <f t="array" ref="Q184">SUMPRODUCT((H_tblBGTage=I184)*(H_tblBGMnt=E184)*H_tblBG%)</f>
        <v>0</v>
      </c>
      <c r="R184" s="231">
        <f t="shared" si="45"/>
        <v>0</v>
      </c>
      <c r="S184" s="237"/>
      <c r="T184" s="237"/>
      <c r="U184" s="236" cm="1">
        <f t="array" ref="U184">SUMPRODUCT((JUN!M_Verweiszeile=$H184)*JUN!M_ProdTag*(JUN!M_Monat=$E184))</f>
        <v>0</v>
      </c>
      <c r="V184" s="236" cm="1">
        <f t="array" ref="V184">SUMPRODUCT((JUN!M_Verweiszeile=$H184)*JUN!M_ProdN1*(JUN!M_Monat=$E184))</f>
        <v>0</v>
      </c>
      <c r="W184" s="236" cm="1">
        <f t="array" ref="W184">SUMPRODUCT((JUN!M_Verweiszeile=$H184)*JUN!M_ProdN2*(JUN!M_Monat=$E184))</f>
        <v>0</v>
      </c>
      <c r="X184" s="236">
        <f t="shared" si="46"/>
        <v>0</v>
      </c>
      <c r="Y184" s="236">
        <f t="shared" si="36"/>
        <v>0</v>
      </c>
      <c r="Z184" s="236">
        <f t="shared" si="37"/>
        <v>0</v>
      </c>
      <c r="AA184" s="236">
        <f t="shared" si="47"/>
        <v>0</v>
      </c>
      <c r="AB184" s="236">
        <f t="shared" si="48"/>
        <v>0</v>
      </c>
      <c r="AC184" s="236">
        <f t="shared" si="49"/>
        <v>0</v>
      </c>
    </row>
    <row r="185" spans="3:29" s="189" customFormat="1" x14ac:dyDescent="0.2">
      <c r="C185" s="129">
        <v>176</v>
      </c>
      <c r="D185" s="190">
        <f t="shared" si="50"/>
        <v>45467</v>
      </c>
      <c r="E185" s="129">
        <f t="shared" si="38"/>
        <v>6</v>
      </c>
      <c r="F185" s="191">
        <f t="shared" si="39"/>
        <v>45467</v>
      </c>
      <c r="G185" s="129">
        <f t="shared" si="40"/>
        <v>26</v>
      </c>
      <c r="H185" s="129">
        <f t="shared" si="41"/>
        <v>24</v>
      </c>
      <c r="I185" s="129">
        <f t="shared" si="42"/>
        <v>1</v>
      </c>
      <c r="J185" s="192">
        <f t="shared" si="43"/>
        <v>45467</v>
      </c>
      <c r="K185" s="129" t="str" cm="1">
        <f t="array" ref="K185">IF(AND(I185&lt;7,INDEX(B_tblFTMatrix,$E185,$H185)="x"),"ft","")</f>
        <v/>
      </c>
      <c r="L185" s="129"/>
      <c r="M185" s="129"/>
      <c r="N185" s="129">
        <f t="shared" si="34"/>
        <v>1</v>
      </c>
      <c r="O185" s="129">
        <f t="shared" si="44"/>
        <v>1</v>
      </c>
      <c r="P185" s="231">
        <f t="shared" si="35"/>
        <v>8</v>
      </c>
      <c r="Q185" s="233" cm="1">
        <f t="array" ref="Q185">SUMPRODUCT((H_tblBGTage=I185)*(H_tblBGMnt=E185)*H_tblBG%)</f>
        <v>1</v>
      </c>
      <c r="R185" s="231">
        <f t="shared" si="45"/>
        <v>8</v>
      </c>
      <c r="S185" s="237"/>
      <c r="T185" s="237"/>
      <c r="U185" s="236" cm="1">
        <f t="array" ref="U185">SUMPRODUCT((JUN!M_Verweiszeile=$H185)*JUN!M_ProdTag*(JUN!M_Monat=$E185))</f>
        <v>0</v>
      </c>
      <c r="V185" s="236" cm="1">
        <f t="array" ref="V185">SUMPRODUCT((JUN!M_Verweiszeile=$H185)*JUN!M_ProdN1*(JUN!M_Monat=$E185))</f>
        <v>0</v>
      </c>
      <c r="W185" s="236" cm="1">
        <f t="array" ref="W185">SUMPRODUCT((JUN!M_Verweiszeile=$H185)*JUN!M_ProdN2*(JUN!M_Monat=$E185))</f>
        <v>0</v>
      </c>
      <c r="X185" s="236">
        <f t="shared" si="46"/>
        <v>0</v>
      </c>
      <c r="Y185" s="236">
        <f t="shared" si="36"/>
        <v>0</v>
      </c>
      <c r="Z185" s="236">
        <f t="shared" si="37"/>
        <v>0</v>
      </c>
      <c r="AA185" s="236">
        <f t="shared" si="47"/>
        <v>0</v>
      </c>
      <c r="AB185" s="236">
        <f t="shared" si="48"/>
        <v>0</v>
      </c>
      <c r="AC185" s="236">
        <f t="shared" si="49"/>
        <v>0</v>
      </c>
    </row>
    <row r="186" spans="3:29" s="189" customFormat="1" x14ac:dyDescent="0.2">
      <c r="C186" s="129">
        <v>177</v>
      </c>
      <c r="D186" s="190">
        <f t="shared" si="50"/>
        <v>45468</v>
      </c>
      <c r="E186" s="129">
        <f t="shared" si="38"/>
        <v>6</v>
      </c>
      <c r="F186" s="191">
        <f t="shared" si="39"/>
        <v>45468</v>
      </c>
      <c r="G186" s="129">
        <f t="shared" si="40"/>
        <v>26</v>
      </c>
      <c r="H186" s="129">
        <f t="shared" si="41"/>
        <v>25</v>
      </c>
      <c r="I186" s="129">
        <f t="shared" si="42"/>
        <v>2</v>
      </c>
      <c r="J186" s="192">
        <f t="shared" si="43"/>
        <v>45468</v>
      </c>
      <c r="K186" s="129" t="str" cm="1">
        <f t="array" ref="K186">IF(AND(I186&lt;7,INDEX(B_tblFTMatrix,$E186,$H186)="x"),"ft","")</f>
        <v/>
      </c>
      <c r="L186" s="129"/>
      <c r="M186" s="129"/>
      <c r="N186" s="129">
        <f t="shared" si="34"/>
        <v>1</v>
      </c>
      <c r="O186" s="129">
        <f t="shared" si="44"/>
        <v>1</v>
      </c>
      <c r="P186" s="231">
        <f t="shared" si="35"/>
        <v>8</v>
      </c>
      <c r="Q186" s="233" cm="1">
        <f t="array" ref="Q186">SUMPRODUCT((H_tblBGTage=I186)*(H_tblBGMnt=E186)*H_tblBG%)</f>
        <v>1</v>
      </c>
      <c r="R186" s="231">
        <f t="shared" si="45"/>
        <v>8</v>
      </c>
      <c r="S186" s="237"/>
      <c r="T186" s="237"/>
      <c r="U186" s="236" cm="1">
        <f t="array" ref="U186">SUMPRODUCT((JUN!M_Verweiszeile=$H186)*JUN!M_ProdTag*(JUN!M_Monat=$E186))</f>
        <v>0</v>
      </c>
      <c r="V186" s="236" cm="1">
        <f t="array" ref="V186">SUMPRODUCT((JUN!M_Verweiszeile=$H186)*JUN!M_ProdN1*(JUN!M_Monat=$E186))</f>
        <v>0</v>
      </c>
      <c r="W186" s="236" cm="1">
        <f t="array" ref="W186">SUMPRODUCT((JUN!M_Verweiszeile=$H186)*JUN!M_ProdN2*(JUN!M_Monat=$E186))</f>
        <v>0</v>
      </c>
      <c r="X186" s="236">
        <f t="shared" si="46"/>
        <v>0</v>
      </c>
      <c r="Y186" s="236">
        <f t="shared" si="36"/>
        <v>0</v>
      </c>
      <c r="Z186" s="236">
        <f t="shared" si="37"/>
        <v>0</v>
      </c>
      <c r="AA186" s="236">
        <f t="shared" si="47"/>
        <v>0</v>
      </c>
      <c r="AB186" s="236">
        <f t="shared" si="48"/>
        <v>0</v>
      </c>
      <c r="AC186" s="236">
        <f t="shared" si="49"/>
        <v>0</v>
      </c>
    </row>
    <row r="187" spans="3:29" s="189" customFormat="1" x14ac:dyDescent="0.2">
      <c r="C187" s="129">
        <v>178</v>
      </c>
      <c r="D187" s="190">
        <f t="shared" si="50"/>
        <v>45469</v>
      </c>
      <c r="E187" s="129">
        <f t="shared" si="38"/>
        <v>6</v>
      </c>
      <c r="F187" s="191">
        <f t="shared" si="39"/>
        <v>45469</v>
      </c>
      <c r="G187" s="129">
        <f t="shared" si="40"/>
        <v>26</v>
      </c>
      <c r="H187" s="129">
        <f t="shared" si="41"/>
        <v>26</v>
      </c>
      <c r="I187" s="129">
        <f t="shared" si="42"/>
        <v>3</v>
      </c>
      <c r="J187" s="192">
        <f t="shared" si="43"/>
        <v>45469</v>
      </c>
      <c r="K187" s="129" t="str" cm="1">
        <f t="array" ref="K187">IF(AND(I187&lt;7,INDEX(B_tblFTMatrix,$E187,$H187)="x"),"ft","")</f>
        <v/>
      </c>
      <c r="L187" s="129"/>
      <c r="M187" s="129"/>
      <c r="N187" s="129">
        <f t="shared" si="34"/>
        <v>1</v>
      </c>
      <c r="O187" s="129">
        <f t="shared" si="44"/>
        <v>1</v>
      </c>
      <c r="P187" s="231">
        <f t="shared" si="35"/>
        <v>8</v>
      </c>
      <c r="Q187" s="233" cm="1">
        <f t="array" ref="Q187">SUMPRODUCT((H_tblBGTage=I187)*(H_tblBGMnt=E187)*H_tblBG%)</f>
        <v>1</v>
      </c>
      <c r="R187" s="231">
        <f t="shared" si="45"/>
        <v>8</v>
      </c>
      <c r="S187" s="237"/>
      <c r="T187" s="237"/>
      <c r="U187" s="236" cm="1">
        <f t="array" ref="U187">SUMPRODUCT((JUN!M_Verweiszeile=$H187)*JUN!M_ProdTag*(JUN!M_Monat=$E187))</f>
        <v>0</v>
      </c>
      <c r="V187" s="236" cm="1">
        <f t="array" ref="V187">SUMPRODUCT((JUN!M_Verweiszeile=$H187)*JUN!M_ProdN1*(JUN!M_Monat=$E187))</f>
        <v>0</v>
      </c>
      <c r="W187" s="236" cm="1">
        <f t="array" ref="W187">SUMPRODUCT((JUN!M_Verweiszeile=$H187)*JUN!M_ProdN2*(JUN!M_Monat=$E187))</f>
        <v>0</v>
      </c>
      <c r="X187" s="236">
        <f t="shared" si="46"/>
        <v>0</v>
      </c>
      <c r="Y187" s="236">
        <f t="shared" si="36"/>
        <v>0</v>
      </c>
      <c r="Z187" s="236">
        <f t="shared" si="37"/>
        <v>0</v>
      </c>
      <c r="AA187" s="236">
        <f t="shared" si="47"/>
        <v>0</v>
      </c>
      <c r="AB187" s="236">
        <f t="shared" si="48"/>
        <v>0</v>
      </c>
      <c r="AC187" s="236">
        <f t="shared" si="49"/>
        <v>0</v>
      </c>
    </row>
    <row r="188" spans="3:29" s="189" customFormat="1" x14ac:dyDescent="0.2">
      <c r="C188" s="129">
        <v>179</v>
      </c>
      <c r="D188" s="190">
        <f t="shared" si="50"/>
        <v>45470</v>
      </c>
      <c r="E188" s="129">
        <f t="shared" si="38"/>
        <v>6</v>
      </c>
      <c r="F188" s="191">
        <f t="shared" si="39"/>
        <v>45470</v>
      </c>
      <c r="G188" s="129">
        <f t="shared" si="40"/>
        <v>26</v>
      </c>
      <c r="H188" s="129">
        <f t="shared" si="41"/>
        <v>27</v>
      </c>
      <c r="I188" s="129">
        <f t="shared" si="42"/>
        <v>4</v>
      </c>
      <c r="J188" s="192">
        <f t="shared" si="43"/>
        <v>45470</v>
      </c>
      <c r="K188" s="129" t="str" cm="1">
        <f t="array" ref="K188">IF(AND(I188&lt;7,INDEX(B_tblFTMatrix,$E188,$H188)="x"),"ft","")</f>
        <v/>
      </c>
      <c r="L188" s="129"/>
      <c r="M188" s="129"/>
      <c r="N188" s="129">
        <f t="shared" si="34"/>
        <v>1</v>
      </c>
      <c r="O188" s="129">
        <f t="shared" si="44"/>
        <v>1</v>
      </c>
      <c r="P188" s="231">
        <f t="shared" si="35"/>
        <v>8</v>
      </c>
      <c r="Q188" s="233" cm="1">
        <f t="array" ref="Q188">SUMPRODUCT((H_tblBGTage=I188)*(H_tblBGMnt=E188)*H_tblBG%)</f>
        <v>1</v>
      </c>
      <c r="R188" s="231">
        <f t="shared" si="45"/>
        <v>8</v>
      </c>
      <c r="S188" s="237"/>
      <c r="T188" s="237"/>
      <c r="U188" s="236" cm="1">
        <f t="array" ref="U188">SUMPRODUCT((JUN!M_Verweiszeile=$H188)*JUN!M_ProdTag*(JUN!M_Monat=$E188))</f>
        <v>0</v>
      </c>
      <c r="V188" s="236" cm="1">
        <f t="array" ref="V188">SUMPRODUCT((JUN!M_Verweiszeile=$H188)*JUN!M_ProdN1*(JUN!M_Monat=$E188))</f>
        <v>0</v>
      </c>
      <c r="W188" s="236" cm="1">
        <f t="array" ref="W188">SUMPRODUCT((JUN!M_Verweiszeile=$H188)*JUN!M_ProdN2*(JUN!M_Monat=$E188))</f>
        <v>0</v>
      </c>
      <c r="X188" s="236">
        <f t="shared" si="46"/>
        <v>0</v>
      </c>
      <c r="Y188" s="236">
        <f t="shared" si="36"/>
        <v>0</v>
      </c>
      <c r="Z188" s="236">
        <f t="shared" si="37"/>
        <v>0</v>
      </c>
      <c r="AA188" s="236">
        <f t="shared" si="47"/>
        <v>0</v>
      </c>
      <c r="AB188" s="236">
        <f t="shared" si="48"/>
        <v>0</v>
      </c>
      <c r="AC188" s="236">
        <f t="shared" si="49"/>
        <v>0</v>
      </c>
    </row>
    <row r="189" spans="3:29" s="189" customFormat="1" x14ac:dyDescent="0.2">
      <c r="C189" s="129">
        <v>180</v>
      </c>
      <c r="D189" s="190">
        <f t="shared" si="50"/>
        <v>45471</v>
      </c>
      <c r="E189" s="129">
        <f t="shared" si="38"/>
        <v>6</v>
      </c>
      <c r="F189" s="191">
        <f t="shared" si="39"/>
        <v>45471</v>
      </c>
      <c r="G189" s="129">
        <f t="shared" si="40"/>
        <v>26</v>
      </c>
      <c r="H189" s="129">
        <f t="shared" si="41"/>
        <v>28</v>
      </c>
      <c r="I189" s="129">
        <f t="shared" si="42"/>
        <v>5</v>
      </c>
      <c r="J189" s="192">
        <f t="shared" si="43"/>
        <v>45471</v>
      </c>
      <c r="K189" s="129" t="str" cm="1">
        <f t="array" ref="K189">IF(AND(I189&lt;7,INDEX(B_tblFTMatrix,$E189,$H189)="x"),"ft","")</f>
        <v/>
      </c>
      <c r="L189" s="129"/>
      <c r="M189" s="129"/>
      <c r="N189" s="129">
        <f t="shared" si="34"/>
        <v>1</v>
      </c>
      <c r="O189" s="129">
        <f t="shared" si="44"/>
        <v>1</v>
      </c>
      <c r="P189" s="231">
        <f t="shared" si="35"/>
        <v>8</v>
      </c>
      <c r="Q189" s="233" cm="1">
        <f t="array" ref="Q189">SUMPRODUCT((H_tblBGTage=I189)*(H_tblBGMnt=E189)*H_tblBG%)</f>
        <v>1</v>
      </c>
      <c r="R189" s="231">
        <f t="shared" si="45"/>
        <v>8</v>
      </c>
      <c r="S189" s="237"/>
      <c r="T189" s="237"/>
      <c r="U189" s="236" cm="1">
        <f t="array" ref="U189">SUMPRODUCT((JUN!M_Verweiszeile=$H189)*JUN!M_ProdTag*(JUN!M_Monat=$E189))</f>
        <v>0</v>
      </c>
      <c r="V189" s="236" cm="1">
        <f t="array" ref="V189">SUMPRODUCT((JUN!M_Verweiszeile=$H189)*JUN!M_ProdN1*(JUN!M_Monat=$E189))</f>
        <v>0</v>
      </c>
      <c r="W189" s="236" cm="1">
        <f t="array" ref="W189">SUMPRODUCT((JUN!M_Verweiszeile=$H189)*JUN!M_ProdN2*(JUN!M_Monat=$E189))</f>
        <v>0</v>
      </c>
      <c r="X189" s="236">
        <f t="shared" si="46"/>
        <v>0</v>
      </c>
      <c r="Y189" s="236">
        <f t="shared" si="36"/>
        <v>0</v>
      </c>
      <c r="Z189" s="236">
        <f t="shared" si="37"/>
        <v>0</v>
      </c>
      <c r="AA189" s="236">
        <f t="shared" si="47"/>
        <v>0</v>
      </c>
      <c r="AB189" s="236">
        <f t="shared" si="48"/>
        <v>0</v>
      </c>
      <c r="AC189" s="236">
        <f t="shared" si="49"/>
        <v>0</v>
      </c>
    </row>
    <row r="190" spans="3:29" s="189" customFormat="1" x14ac:dyDescent="0.2">
      <c r="C190" s="129">
        <v>181</v>
      </c>
      <c r="D190" s="190">
        <f t="shared" si="50"/>
        <v>45472</v>
      </c>
      <c r="E190" s="129">
        <f t="shared" si="38"/>
        <v>6</v>
      </c>
      <c r="F190" s="191">
        <f t="shared" si="39"/>
        <v>45472</v>
      </c>
      <c r="G190" s="129">
        <f t="shared" si="40"/>
        <v>26</v>
      </c>
      <c r="H190" s="129">
        <f t="shared" si="41"/>
        <v>29</v>
      </c>
      <c r="I190" s="129">
        <f t="shared" si="42"/>
        <v>6</v>
      </c>
      <c r="J190" s="192">
        <f t="shared" si="43"/>
        <v>45472</v>
      </c>
      <c r="K190" s="129" t="str" cm="1">
        <f t="array" ref="K190">IF(AND(I190&lt;7,INDEX(B_tblFTMatrix,$E190,$H190)="x"),"ft","")</f>
        <v/>
      </c>
      <c r="L190" s="129"/>
      <c r="M190" s="129"/>
      <c r="N190" s="129">
        <f t="shared" si="34"/>
        <v>0</v>
      </c>
      <c r="O190" s="129">
        <f t="shared" si="44"/>
        <v>0</v>
      </c>
      <c r="P190" s="231">
        <f t="shared" si="35"/>
        <v>0</v>
      </c>
      <c r="Q190" s="233" cm="1">
        <f t="array" ref="Q190">SUMPRODUCT((H_tblBGTage=I190)*(H_tblBGMnt=E190)*H_tblBG%)</f>
        <v>0</v>
      </c>
      <c r="R190" s="231">
        <f t="shared" si="45"/>
        <v>0</v>
      </c>
      <c r="S190" s="237"/>
      <c r="T190" s="237"/>
      <c r="U190" s="236" cm="1">
        <f t="array" ref="U190">SUMPRODUCT((JUN!M_Verweiszeile=$H190)*JUN!M_ProdTag*(JUN!M_Monat=$E190))</f>
        <v>0</v>
      </c>
      <c r="V190" s="236" cm="1">
        <f t="array" ref="V190">SUMPRODUCT((JUN!M_Verweiszeile=$H190)*JUN!M_ProdN1*(JUN!M_Monat=$E190))</f>
        <v>0</v>
      </c>
      <c r="W190" s="236" cm="1">
        <f t="array" ref="W190">SUMPRODUCT((JUN!M_Verweiszeile=$H190)*JUN!M_ProdN2*(JUN!M_Monat=$E190))</f>
        <v>0</v>
      </c>
      <c r="X190" s="236">
        <f t="shared" si="46"/>
        <v>0</v>
      </c>
      <c r="Y190" s="236">
        <f t="shared" si="36"/>
        <v>0</v>
      </c>
      <c r="Z190" s="236">
        <f t="shared" si="37"/>
        <v>0</v>
      </c>
      <c r="AA190" s="236">
        <f t="shared" si="47"/>
        <v>0</v>
      </c>
      <c r="AB190" s="236">
        <f t="shared" si="48"/>
        <v>0</v>
      </c>
      <c r="AC190" s="236">
        <f t="shared" si="49"/>
        <v>0</v>
      </c>
    </row>
    <row r="191" spans="3:29" s="189" customFormat="1" x14ac:dyDescent="0.2">
      <c r="C191" s="129">
        <v>182</v>
      </c>
      <c r="D191" s="190">
        <f t="shared" si="50"/>
        <v>45473</v>
      </c>
      <c r="E191" s="129">
        <f t="shared" si="38"/>
        <v>6</v>
      </c>
      <c r="F191" s="191">
        <f t="shared" si="39"/>
        <v>45473</v>
      </c>
      <c r="G191" s="129">
        <f t="shared" si="40"/>
        <v>26</v>
      </c>
      <c r="H191" s="129">
        <f t="shared" si="41"/>
        <v>30</v>
      </c>
      <c r="I191" s="129">
        <f t="shared" si="42"/>
        <v>7</v>
      </c>
      <c r="J191" s="192">
        <f t="shared" si="43"/>
        <v>45473</v>
      </c>
      <c r="K191" s="129" t="str" cm="1">
        <f t="array" ref="K191">IF(AND(I191&lt;7,INDEX(B_tblFTMatrix,$E191,$H191)="x"),"ft","")</f>
        <v/>
      </c>
      <c r="L191" s="129"/>
      <c r="M191" s="129"/>
      <c r="N191" s="129">
        <f t="shared" si="34"/>
        <v>0</v>
      </c>
      <c r="O191" s="129">
        <f t="shared" si="44"/>
        <v>0</v>
      </c>
      <c r="P191" s="231">
        <f t="shared" si="35"/>
        <v>0</v>
      </c>
      <c r="Q191" s="233" cm="1">
        <f t="array" ref="Q191">SUMPRODUCT((H_tblBGTage=I191)*(H_tblBGMnt=E191)*H_tblBG%)</f>
        <v>0</v>
      </c>
      <c r="R191" s="231">
        <f t="shared" si="45"/>
        <v>0</v>
      </c>
      <c r="S191" s="237"/>
      <c r="T191" s="237"/>
      <c r="U191" s="319" cm="1">
        <f t="array" ref="U191">SUMPRODUCT((JUN!M_Verweiszeile=$H191)*JUN!M_ProdTag*(JUN!M_Monat=$E191))+SUMPRODUCT((JUL!M_Verweiszeile=$H191)*JUL!M_ProdTag*(JUL!M_Monat=$E191))</f>
        <v>0</v>
      </c>
      <c r="V191" s="236" cm="1">
        <f t="array" ref="V191">SUMPRODUCT((JUN!M_Verweiszeile=$H191)*JUN!M_ProdN1*(JUN!M_Monat=$E191))+SUMPRODUCT((JUL!M_Verweiszeile=$H191)*JUL!M_ProdN1*(JUL!M_Monat=$E191))</f>
        <v>0</v>
      </c>
      <c r="W191" s="236" cm="1">
        <f t="array" ref="W191">SUMPRODUCT((JUN!M_Verweiszeile=$H191)*JUN!M_ProdN2*(JUN!M_Monat=$E191))+SUMPRODUCT((JUL!M_Verweiszeile=$H191)*JUL!M_ProdN2*(JUL!M_Monat=$E191))</f>
        <v>0</v>
      </c>
      <c r="X191" s="236">
        <f t="shared" si="46"/>
        <v>0</v>
      </c>
      <c r="Y191" s="236">
        <f t="shared" si="36"/>
        <v>0</v>
      </c>
      <c r="Z191" s="236">
        <f t="shared" si="37"/>
        <v>0</v>
      </c>
      <c r="AA191" s="236">
        <f t="shared" si="47"/>
        <v>0</v>
      </c>
      <c r="AB191" s="236">
        <f t="shared" si="48"/>
        <v>0</v>
      </c>
      <c r="AC191" s="236">
        <f t="shared" si="49"/>
        <v>0</v>
      </c>
    </row>
    <row r="192" spans="3:29" s="189" customFormat="1" x14ac:dyDescent="0.2">
      <c r="C192" s="129">
        <v>183</v>
      </c>
      <c r="D192" s="190">
        <f t="shared" si="50"/>
        <v>45474</v>
      </c>
      <c r="E192" s="129">
        <f t="shared" si="38"/>
        <v>7</v>
      </c>
      <c r="F192" s="191">
        <f t="shared" si="39"/>
        <v>45474</v>
      </c>
      <c r="G192" s="129">
        <f t="shared" si="40"/>
        <v>27</v>
      </c>
      <c r="H192" s="129">
        <f t="shared" si="41"/>
        <v>1</v>
      </c>
      <c r="I192" s="129">
        <f t="shared" si="42"/>
        <v>1</v>
      </c>
      <c r="J192" s="192">
        <f t="shared" si="43"/>
        <v>45474</v>
      </c>
      <c r="K192" s="129" t="str" cm="1">
        <f t="array" ref="K192">IF(AND(I192&lt;7,INDEX(B_tblFTMatrix,$E192,$H192)="x"),"ft","")</f>
        <v/>
      </c>
      <c r="L192" s="129"/>
      <c r="M192" s="129"/>
      <c r="N192" s="129">
        <f t="shared" si="34"/>
        <v>1</v>
      </c>
      <c r="O192" s="129">
        <f t="shared" si="44"/>
        <v>1</v>
      </c>
      <c r="P192" s="231">
        <f t="shared" si="35"/>
        <v>8</v>
      </c>
      <c r="Q192" s="233" cm="1">
        <f t="array" ref="Q192">SUMPRODUCT((H_tblBGTage=I192)*(H_tblBGMnt=E192)*H_tblBG%)</f>
        <v>1</v>
      </c>
      <c r="R192" s="231">
        <f t="shared" si="45"/>
        <v>8</v>
      </c>
      <c r="S192" s="237"/>
      <c r="T192" s="237"/>
      <c r="U192" s="319" cm="1">
        <f t="array" ref="U192">SUMPRODUCT((JUL!M_Verweiszeile=$H192)*JUL!M_ProdTag*(JUL!M_Monat=$E192))</f>
        <v>0</v>
      </c>
      <c r="V192" s="236" cm="1">
        <f t="array" ref="V192">SUMPRODUCT((JUL!M_Verweiszeile=$H192)*JUL!M_ProdN1*(JUL!M_Monat=$E192))</f>
        <v>0</v>
      </c>
      <c r="W192" s="236" cm="1">
        <f t="array" ref="W192">SUMPRODUCT((JUL!M_Verweiszeile=$H192)*JUL!M_ProdN2*(JUL!M_Monat=$E192))</f>
        <v>0</v>
      </c>
      <c r="X192" s="236">
        <f t="shared" si="46"/>
        <v>0</v>
      </c>
      <c r="Y192" s="236">
        <f t="shared" si="36"/>
        <v>0</v>
      </c>
      <c r="Z192" s="236">
        <f t="shared" si="37"/>
        <v>0</v>
      </c>
      <c r="AA192" s="236">
        <f t="shared" si="47"/>
        <v>0</v>
      </c>
      <c r="AB192" s="236">
        <f t="shared" si="48"/>
        <v>0</v>
      </c>
      <c r="AC192" s="236">
        <f t="shared" si="49"/>
        <v>0</v>
      </c>
    </row>
    <row r="193" spans="3:29" s="189" customFormat="1" x14ac:dyDescent="0.2">
      <c r="C193" s="129">
        <v>184</v>
      </c>
      <c r="D193" s="190">
        <f t="shared" si="50"/>
        <v>45475</v>
      </c>
      <c r="E193" s="129">
        <f t="shared" si="38"/>
        <v>7</v>
      </c>
      <c r="F193" s="191">
        <f t="shared" si="39"/>
        <v>45475</v>
      </c>
      <c r="G193" s="129">
        <f t="shared" si="40"/>
        <v>27</v>
      </c>
      <c r="H193" s="129">
        <f t="shared" si="41"/>
        <v>2</v>
      </c>
      <c r="I193" s="129">
        <f t="shared" si="42"/>
        <v>2</v>
      </c>
      <c r="J193" s="192">
        <f t="shared" si="43"/>
        <v>45475</v>
      </c>
      <c r="K193" s="129" t="str" cm="1">
        <f t="array" ref="K193">IF(AND(I193&lt;7,INDEX(B_tblFTMatrix,$E193,$H193)="x"),"ft","")</f>
        <v/>
      </c>
      <c r="L193" s="129"/>
      <c r="M193" s="129"/>
      <c r="N193" s="129">
        <f t="shared" si="34"/>
        <v>1</v>
      </c>
      <c r="O193" s="129">
        <f t="shared" si="44"/>
        <v>1</v>
      </c>
      <c r="P193" s="231">
        <f t="shared" si="35"/>
        <v>8</v>
      </c>
      <c r="Q193" s="233" cm="1">
        <f t="array" ref="Q193">SUMPRODUCT((H_tblBGTage=I193)*(H_tblBGMnt=E193)*H_tblBG%)</f>
        <v>1</v>
      </c>
      <c r="R193" s="231">
        <f t="shared" si="45"/>
        <v>8</v>
      </c>
      <c r="S193" s="237"/>
      <c r="T193" s="237"/>
      <c r="U193" s="236" cm="1">
        <f t="array" ref="U193">SUMPRODUCT((JUL!M_Verweiszeile=$H193)*JUL!M_ProdTag*(JUL!M_Monat=$E193))</f>
        <v>0</v>
      </c>
      <c r="V193" s="236" cm="1">
        <f t="array" ref="V193">SUMPRODUCT((JUL!M_Verweiszeile=$H193)*JUL!M_ProdN1*(JUL!M_Monat=$E193))</f>
        <v>0</v>
      </c>
      <c r="W193" s="236" cm="1">
        <f t="array" ref="W193">SUMPRODUCT((JUL!M_Verweiszeile=$H193)*JUL!M_ProdN2*(JUL!M_Monat=$E193))</f>
        <v>0</v>
      </c>
      <c r="X193" s="236">
        <f t="shared" si="46"/>
        <v>0</v>
      </c>
      <c r="Y193" s="236">
        <f t="shared" si="36"/>
        <v>0</v>
      </c>
      <c r="Z193" s="236">
        <f t="shared" si="37"/>
        <v>0</v>
      </c>
      <c r="AA193" s="236">
        <f t="shared" si="47"/>
        <v>0</v>
      </c>
      <c r="AB193" s="236">
        <f t="shared" si="48"/>
        <v>0</v>
      </c>
      <c r="AC193" s="236">
        <f t="shared" si="49"/>
        <v>0</v>
      </c>
    </row>
    <row r="194" spans="3:29" s="189" customFormat="1" x14ac:dyDescent="0.2">
      <c r="C194" s="129">
        <v>185</v>
      </c>
      <c r="D194" s="190">
        <f t="shared" si="50"/>
        <v>45476</v>
      </c>
      <c r="E194" s="129">
        <f t="shared" si="38"/>
        <v>7</v>
      </c>
      <c r="F194" s="191">
        <f t="shared" si="39"/>
        <v>45476</v>
      </c>
      <c r="G194" s="129">
        <f t="shared" si="40"/>
        <v>27</v>
      </c>
      <c r="H194" s="129">
        <f t="shared" si="41"/>
        <v>3</v>
      </c>
      <c r="I194" s="129">
        <f t="shared" si="42"/>
        <v>3</v>
      </c>
      <c r="J194" s="192">
        <f t="shared" si="43"/>
        <v>45476</v>
      </c>
      <c r="K194" s="129" t="str" cm="1">
        <f t="array" ref="K194">IF(AND(I194&lt;7,INDEX(B_tblFTMatrix,$E194,$H194)="x"),"ft","")</f>
        <v/>
      </c>
      <c r="L194" s="129"/>
      <c r="M194" s="129"/>
      <c r="N194" s="129">
        <f t="shared" si="34"/>
        <v>1</v>
      </c>
      <c r="O194" s="129">
        <f t="shared" si="44"/>
        <v>1</v>
      </c>
      <c r="P194" s="231">
        <f t="shared" si="35"/>
        <v>8</v>
      </c>
      <c r="Q194" s="233" cm="1">
        <f t="array" ref="Q194">SUMPRODUCT((H_tblBGTage=I194)*(H_tblBGMnt=E194)*H_tblBG%)</f>
        <v>1</v>
      </c>
      <c r="R194" s="231">
        <f t="shared" si="45"/>
        <v>8</v>
      </c>
      <c r="S194" s="237"/>
      <c r="T194" s="237"/>
      <c r="U194" s="236" cm="1">
        <f t="array" ref="U194">SUMPRODUCT((JUL!M_Verweiszeile=$H194)*JUL!M_ProdTag*(JUL!M_Monat=$E194))</f>
        <v>0</v>
      </c>
      <c r="V194" s="236" cm="1">
        <f t="array" ref="V194">SUMPRODUCT((JUL!M_Verweiszeile=$H194)*JUL!M_ProdN1*(JUL!M_Monat=$E194))</f>
        <v>0</v>
      </c>
      <c r="W194" s="236" cm="1">
        <f t="array" ref="W194">SUMPRODUCT((JUL!M_Verweiszeile=$H194)*JUL!M_ProdN2*(JUL!M_Monat=$E194))</f>
        <v>0</v>
      </c>
      <c r="X194" s="236">
        <f t="shared" si="46"/>
        <v>0</v>
      </c>
      <c r="Y194" s="236">
        <f t="shared" si="36"/>
        <v>0</v>
      </c>
      <c r="Z194" s="236">
        <f t="shared" si="37"/>
        <v>0</v>
      </c>
      <c r="AA194" s="236">
        <f t="shared" si="47"/>
        <v>0</v>
      </c>
      <c r="AB194" s="236">
        <f t="shared" si="48"/>
        <v>0</v>
      </c>
      <c r="AC194" s="236">
        <f t="shared" si="49"/>
        <v>0</v>
      </c>
    </row>
    <row r="195" spans="3:29" s="189" customFormat="1" x14ac:dyDescent="0.2">
      <c r="C195" s="129">
        <v>186</v>
      </c>
      <c r="D195" s="190">
        <f t="shared" si="50"/>
        <v>45477</v>
      </c>
      <c r="E195" s="129">
        <f t="shared" si="38"/>
        <v>7</v>
      </c>
      <c r="F195" s="191">
        <f t="shared" si="39"/>
        <v>45477</v>
      </c>
      <c r="G195" s="129">
        <f t="shared" si="40"/>
        <v>27</v>
      </c>
      <c r="H195" s="129">
        <f t="shared" si="41"/>
        <v>4</v>
      </c>
      <c r="I195" s="129">
        <f t="shared" si="42"/>
        <v>4</v>
      </c>
      <c r="J195" s="192">
        <f t="shared" si="43"/>
        <v>45477</v>
      </c>
      <c r="K195" s="129" t="str" cm="1">
        <f t="array" ref="K195">IF(AND(I195&lt;7,INDEX(B_tblFTMatrix,$E195,$H195)="x"),"ft","")</f>
        <v/>
      </c>
      <c r="L195" s="129"/>
      <c r="M195" s="129"/>
      <c r="N195" s="129">
        <f t="shared" si="34"/>
        <v>1</v>
      </c>
      <c r="O195" s="129">
        <f t="shared" si="44"/>
        <v>1</v>
      </c>
      <c r="P195" s="231">
        <f t="shared" si="35"/>
        <v>8</v>
      </c>
      <c r="Q195" s="233" cm="1">
        <f t="array" ref="Q195">SUMPRODUCT((H_tblBGTage=I195)*(H_tblBGMnt=E195)*H_tblBG%)</f>
        <v>1</v>
      </c>
      <c r="R195" s="231">
        <f t="shared" si="45"/>
        <v>8</v>
      </c>
      <c r="S195" s="237"/>
      <c r="T195" s="237"/>
      <c r="U195" s="236" cm="1">
        <f t="array" ref="U195">SUMPRODUCT((JUL!M_Verweiszeile=$H195)*JUL!M_ProdTag*(JUL!M_Monat=$E195))</f>
        <v>0</v>
      </c>
      <c r="V195" s="236" cm="1">
        <f t="array" ref="V195">SUMPRODUCT((JUL!M_Verweiszeile=$H195)*JUL!M_ProdN1*(JUL!M_Monat=$E195))</f>
        <v>0</v>
      </c>
      <c r="W195" s="236" cm="1">
        <f t="array" ref="W195">SUMPRODUCT((JUL!M_Verweiszeile=$H195)*JUL!M_ProdN2*(JUL!M_Monat=$E195))</f>
        <v>0</v>
      </c>
      <c r="X195" s="236">
        <f t="shared" si="46"/>
        <v>0</v>
      </c>
      <c r="Y195" s="236">
        <f t="shared" si="36"/>
        <v>0</v>
      </c>
      <c r="Z195" s="236">
        <f t="shared" si="37"/>
        <v>0</v>
      </c>
      <c r="AA195" s="236">
        <f t="shared" si="47"/>
        <v>0</v>
      </c>
      <c r="AB195" s="236">
        <f t="shared" si="48"/>
        <v>0</v>
      </c>
      <c r="AC195" s="236">
        <f t="shared" si="49"/>
        <v>0</v>
      </c>
    </row>
    <row r="196" spans="3:29" s="189" customFormat="1" x14ac:dyDescent="0.2">
      <c r="C196" s="129">
        <v>187</v>
      </c>
      <c r="D196" s="190">
        <f t="shared" si="50"/>
        <v>45478</v>
      </c>
      <c r="E196" s="129">
        <f t="shared" si="38"/>
        <v>7</v>
      </c>
      <c r="F196" s="191">
        <f t="shared" si="39"/>
        <v>45478</v>
      </c>
      <c r="G196" s="129">
        <f t="shared" si="40"/>
        <v>27</v>
      </c>
      <c r="H196" s="129">
        <f t="shared" si="41"/>
        <v>5</v>
      </c>
      <c r="I196" s="129">
        <f t="shared" si="42"/>
        <v>5</v>
      </c>
      <c r="J196" s="192">
        <f t="shared" si="43"/>
        <v>45478</v>
      </c>
      <c r="K196" s="129" t="str" cm="1">
        <f t="array" ref="K196">IF(AND(I196&lt;7,INDEX(B_tblFTMatrix,$E196,$H196)="x"),"ft","")</f>
        <v/>
      </c>
      <c r="L196" s="129"/>
      <c r="M196" s="129"/>
      <c r="N196" s="129">
        <f t="shared" si="34"/>
        <v>1</v>
      </c>
      <c r="O196" s="129">
        <f t="shared" si="44"/>
        <v>1</v>
      </c>
      <c r="P196" s="231">
        <f t="shared" si="35"/>
        <v>8</v>
      </c>
      <c r="Q196" s="233" cm="1">
        <f t="array" ref="Q196">SUMPRODUCT((H_tblBGTage=I196)*(H_tblBGMnt=E196)*H_tblBG%)</f>
        <v>1</v>
      </c>
      <c r="R196" s="231">
        <f t="shared" si="45"/>
        <v>8</v>
      </c>
      <c r="S196" s="237"/>
      <c r="T196" s="237"/>
      <c r="U196" s="236" cm="1">
        <f t="array" ref="U196">SUMPRODUCT((JUL!M_Verweiszeile=$H196)*JUL!M_ProdTag*(JUL!M_Monat=$E196))</f>
        <v>0</v>
      </c>
      <c r="V196" s="236" cm="1">
        <f t="array" ref="V196">SUMPRODUCT((JUL!M_Verweiszeile=$H196)*JUL!M_ProdN1*(JUL!M_Monat=$E196))</f>
        <v>0</v>
      </c>
      <c r="W196" s="236" cm="1">
        <f t="array" ref="W196">SUMPRODUCT((JUL!M_Verweiszeile=$H196)*JUL!M_ProdN2*(JUL!M_Monat=$E196))</f>
        <v>0</v>
      </c>
      <c r="X196" s="236">
        <f t="shared" si="46"/>
        <v>0</v>
      </c>
      <c r="Y196" s="236">
        <f t="shared" si="36"/>
        <v>0</v>
      </c>
      <c r="Z196" s="236">
        <f t="shared" si="37"/>
        <v>0</v>
      </c>
      <c r="AA196" s="236">
        <f t="shared" si="47"/>
        <v>0</v>
      </c>
      <c r="AB196" s="236">
        <f t="shared" si="48"/>
        <v>0</v>
      </c>
      <c r="AC196" s="236">
        <f t="shared" si="49"/>
        <v>0</v>
      </c>
    </row>
    <row r="197" spans="3:29" s="189" customFormat="1" x14ac:dyDescent="0.2">
      <c r="C197" s="129">
        <v>188</v>
      </c>
      <c r="D197" s="190">
        <f t="shared" si="50"/>
        <v>45479</v>
      </c>
      <c r="E197" s="129">
        <f t="shared" si="38"/>
        <v>7</v>
      </c>
      <c r="F197" s="191">
        <f t="shared" si="39"/>
        <v>45479</v>
      </c>
      <c r="G197" s="129">
        <f t="shared" si="40"/>
        <v>27</v>
      </c>
      <c r="H197" s="129">
        <f t="shared" si="41"/>
        <v>6</v>
      </c>
      <c r="I197" s="129">
        <f t="shared" si="42"/>
        <v>6</v>
      </c>
      <c r="J197" s="192">
        <f t="shared" si="43"/>
        <v>45479</v>
      </c>
      <c r="K197" s="129" t="str" cm="1">
        <f t="array" ref="K197">IF(AND(I197&lt;7,INDEX(B_tblFTMatrix,$E197,$H197)="x"),"ft","")</f>
        <v/>
      </c>
      <c r="L197" s="129"/>
      <c r="M197" s="129"/>
      <c r="N197" s="129">
        <f t="shared" si="34"/>
        <v>0</v>
      </c>
      <c r="O197" s="129">
        <f t="shared" si="44"/>
        <v>0</v>
      </c>
      <c r="P197" s="231">
        <f t="shared" si="35"/>
        <v>0</v>
      </c>
      <c r="Q197" s="233" cm="1">
        <f t="array" ref="Q197">SUMPRODUCT((H_tblBGTage=I197)*(H_tblBGMnt=E197)*H_tblBG%)</f>
        <v>0</v>
      </c>
      <c r="R197" s="231">
        <f t="shared" si="45"/>
        <v>0</v>
      </c>
      <c r="S197" s="237"/>
      <c r="T197" s="237"/>
      <c r="U197" s="236" cm="1">
        <f t="array" ref="U197">SUMPRODUCT((JUL!M_Verweiszeile=$H197)*JUL!M_ProdTag*(JUL!M_Monat=$E197))</f>
        <v>0</v>
      </c>
      <c r="V197" s="236" cm="1">
        <f t="array" ref="V197">SUMPRODUCT((JUL!M_Verweiszeile=$H197)*JUL!M_ProdN1*(JUL!M_Monat=$E197))</f>
        <v>0</v>
      </c>
      <c r="W197" s="236" cm="1">
        <f t="array" ref="W197">SUMPRODUCT((JUL!M_Verweiszeile=$H197)*JUL!M_ProdN2*(JUL!M_Monat=$E197))</f>
        <v>0</v>
      </c>
      <c r="X197" s="236">
        <f t="shared" si="46"/>
        <v>0</v>
      </c>
      <c r="Y197" s="236">
        <f t="shared" si="36"/>
        <v>0</v>
      </c>
      <c r="Z197" s="236">
        <f t="shared" si="37"/>
        <v>0</v>
      </c>
      <c r="AA197" s="236">
        <f t="shared" si="47"/>
        <v>0</v>
      </c>
      <c r="AB197" s="236">
        <f t="shared" si="48"/>
        <v>0</v>
      </c>
      <c r="AC197" s="236">
        <f t="shared" si="49"/>
        <v>0</v>
      </c>
    </row>
    <row r="198" spans="3:29" s="189" customFormat="1" x14ac:dyDescent="0.2">
      <c r="C198" s="129">
        <v>189</v>
      </c>
      <c r="D198" s="190">
        <f t="shared" si="50"/>
        <v>45480</v>
      </c>
      <c r="E198" s="129">
        <f t="shared" si="38"/>
        <v>7</v>
      </c>
      <c r="F198" s="191">
        <f t="shared" si="39"/>
        <v>45480</v>
      </c>
      <c r="G198" s="129">
        <f t="shared" si="40"/>
        <v>27</v>
      </c>
      <c r="H198" s="129">
        <f t="shared" si="41"/>
        <v>7</v>
      </c>
      <c r="I198" s="129">
        <f t="shared" si="42"/>
        <v>7</v>
      </c>
      <c r="J198" s="192">
        <f t="shared" si="43"/>
        <v>45480</v>
      </c>
      <c r="K198" s="129" t="str" cm="1">
        <f t="array" ref="K198">IF(AND(I198&lt;7,INDEX(B_tblFTMatrix,$E198,$H198)="x"),"ft","")</f>
        <v/>
      </c>
      <c r="L198" s="129"/>
      <c r="M198" s="129"/>
      <c r="N198" s="129">
        <f t="shared" si="34"/>
        <v>0</v>
      </c>
      <c r="O198" s="129">
        <f t="shared" si="44"/>
        <v>0</v>
      </c>
      <c r="P198" s="231">
        <f t="shared" si="35"/>
        <v>0</v>
      </c>
      <c r="Q198" s="233" cm="1">
        <f t="array" ref="Q198">SUMPRODUCT((H_tblBGTage=I198)*(H_tblBGMnt=E198)*H_tblBG%)</f>
        <v>0</v>
      </c>
      <c r="R198" s="231">
        <f t="shared" si="45"/>
        <v>0</v>
      </c>
      <c r="S198" s="237"/>
      <c r="T198" s="237"/>
      <c r="U198" s="236" cm="1">
        <f t="array" ref="U198">SUMPRODUCT((JUL!M_Verweiszeile=$H198)*JUL!M_ProdTag*(JUL!M_Monat=$E198))</f>
        <v>0</v>
      </c>
      <c r="V198" s="236" cm="1">
        <f t="array" ref="V198">SUMPRODUCT((JUL!M_Verweiszeile=$H198)*JUL!M_ProdN1*(JUL!M_Monat=$E198))</f>
        <v>0</v>
      </c>
      <c r="W198" s="236" cm="1">
        <f t="array" ref="W198">SUMPRODUCT((JUL!M_Verweiszeile=$H198)*JUL!M_ProdN2*(JUL!M_Monat=$E198))</f>
        <v>0</v>
      </c>
      <c r="X198" s="236">
        <f t="shared" si="46"/>
        <v>0</v>
      </c>
      <c r="Y198" s="236">
        <f t="shared" si="36"/>
        <v>0</v>
      </c>
      <c r="Z198" s="236">
        <f t="shared" si="37"/>
        <v>0</v>
      </c>
      <c r="AA198" s="236">
        <f t="shared" si="47"/>
        <v>0</v>
      </c>
      <c r="AB198" s="236">
        <f t="shared" si="48"/>
        <v>0</v>
      </c>
      <c r="AC198" s="236">
        <f t="shared" si="49"/>
        <v>0</v>
      </c>
    </row>
    <row r="199" spans="3:29" s="189" customFormat="1" x14ac:dyDescent="0.2">
      <c r="C199" s="129">
        <v>190</v>
      </c>
      <c r="D199" s="190">
        <f t="shared" si="50"/>
        <v>45481</v>
      </c>
      <c r="E199" s="129">
        <f t="shared" si="38"/>
        <v>7</v>
      </c>
      <c r="F199" s="191">
        <f t="shared" si="39"/>
        <v>45481</v>
      </c>
      <c r="G199" s="129">
        <f t="shared" si="40"/>
        <v>28</v>
      </c>
      <c r="H199" s="129">
        <f t="shared" si="41"/>
        <v>8</v>
      </c>
      <c r="I199" s="129">
        <f t="shared" si="42"/>
        <v>1</v>
      </c>
      <c r="J199" s="192">
        <f t="shared" si="43"/>
        <v>45481</v>
      </c>
      <c r="K199" s="129" t="str" cm="1">
        <f t="array" ref="K199">IF(AND(I199&lt;7,INDEX(B_tblFTMatrix,$E199,$H199)="x"),"ft","")</f>
        <v/>
      </c>
      <c r="L199" s="129"/>
      <c r="M199" s="129"/>
      <c r="N199" s="129">
        <f t="shared" si="34"/>
        <v>1</v>
      </c>
      <c r="O199" s="129">
        <f t="shared" si="44"/>
        <v>1</v>
      </c>
      <c r="P199" s="231">
        <f t="shared" si="35"/>
        <v>8</v>
      </c>
      <c r="Q199" s="233" cm="1">
        <f t="array" ref="Q199">SUMPRODUCT((H_tblBGTage=I199)*(H_tblBGMnt=E199)*H_tblBG%)</f>
        <v>1</v>
      </c>
      <c r="R199" s="231">
        <f t="shared" si="45"/>
        <v>8</v>
      </c>
      <c r="S199" s="237"/>
      <c r="T199" s="237"/>
      <c r="U199" s="236" cm="1">
        <f t="array" ref="U199">SUMPRODUCT((JUL!M_Verweiszeile=$H199)*JUL!M_ProdTag*(JUL!M_Monat=$E199))</f>
        <v>0</v>
      </c>
      <c r="V199" s="236" cm="1">
        <f t="array" ref="V199">SUMPRODUCT((JUL!M_Verweiszeile=$H199)*JUL!M_ProdN1*(JUL!M_Monat=$E199))</f>
        <v>0</v>
      </c>
      <c r="W199" s="236" cm="1">
        <f t="array" ref="W199">SUMPRODUCT((JUL!M_Verweiszeile=$H199)*JUL!M_ProdN2*(JUL!M_Monat=$E199))</f>
        <v>0</v>
      </c>
      <c r="X199" s="236">
        <f t="shared" si="46"/>
        <v>0</v>
      </c>
      <c r="Y199" s="236">
        <f t="shared" si="36"/>
        <v>0</v>
      </c>
      <c r="Z199" s="236">
        <f t="shared" si="37"/>
        <v>0</v>
      </c>
      <c r="AA199" s="236">
        <f t="shared" si="47"/>
        <v>0</v>
      </c>
      <c r="AB199" s="236">
        <f t="shared" si="48"/>
        <v>0</v>
      </c>
      <c r="AC199" s="236">
        <f t="shared" si="49"/>
        <v>0</v>
      </c>
    </row>
    <row r="200" spans="3:29" s="189" customFormat="1" x14ac:dyDescent="0.2">
      <c r="C200" s="129">
        <v>191</v>
      </c>
      <c r="D200" s="190">
        <f t="shared" si="50"/>
        <v>45482</v>
      </c>
      <c r="E200" s="129">
        <f t="shared" si="38"/>
        <v>7</v>
      </c>
      <c r="F200" s="191">
        <f t="shared" si="39"/>
        <v>45482</v>
      </c>
      <c r="G200" s="129">
        <f t="shared" si="40"/>
        <v>28</v>
      </c>
      <c r="H200" s="129">
        <f t="shared" si="41"/>
        <v>9</v>
      </c>
      <c r="I200" s="129">
        <f t="shared" si="42"/>
        <v>2</v>
      </c>
      <c r="J200" s="192">
        <f t="shared" si="43"/>
        <v>45482</v>
      </c>
      <c r="K200" s="129" t="str" cm="1">
        <f t="array" ref="K200">IF(AND(I200&lt;7,INDEX(B_tblFTMatrix,$E200,$H200)="x"),"ft","")</f>
        <v/>
      </c>
      <c r="L200" s="129"/>
      <c r="M200" s="129"/>
      <c r="N200" s="129">
        <f t="shared" si="34"/>
        <v>1</v>
      </c>
      <c r="O200" s="129">
        <f t="shared" si="44"/>
        <v>1</v>
      </c>
      <c r="P200" s="231">
        <f t="shared" si="35"/>
        <v>8</v>
      </c>
      <c r="Q200" s="233" cm="1">
        <f t="array" ref="Q200">SUMPRODUCT((H_tblBGTage=I200)*(H_tblBGMnt=E200)*H_tblBG%)</f>
        <v>1</v>
      </c>
      <c r="R200" s="231">
        <f t="shared" si="45"/>
        <v>8</v>
      </c>
      <c r="S200" s="237"/>
      <c r="T200" s="237"/>
      <c r="U200" s="236" cm="1">
        <f t="array" ref="U200">SUMPRODUCT((JUL!M_Verweiszeile=$H200)*JUL!M_ProdTag*(JUL!M_Monat=$E200))</f>
        <v>0</v>
      </c>
      <c r="V200" s="236" cm="1">
        <f t="array" ref="V200">SUMPRODUCT((JUL!M_Verweiszeile=$H200)*JUL!M_ProdN1*(JUL!M_Monat=$E200))</f>
        <v>0</v>
      </c>
      <c r="W200" s="236" cm="1">
        <f t="array" ref="W200">SUMPRODUCT((JUL!M_Verweiszeile=$H200)*JUL!M_ProdN2*(JUL!M_Monat=$E200))</f>
        <v>0</v>
      </c>
      <c r="X200" s="236">
        <f t="shared" si="46"/>
        <v>0</v>
      </c>
      <c r="Y200" s="236">
        <f t="shared" si="36"/>
        <v>0</v>
      </c>
      <c r="Z200" s="236">
        <f t="shared" si="37"/>
        <v>0</v>
      </c>
      <c r="AA200" s="236">
        <f t="shared" si="47"/>
        <v>0</v>
      </c>
      <c r="AB200" s="236">
        <f t="shared" si="48"/>
        <v>0</v>
      </c>
      <c r="AC200" s="236">
        <f t="shared" si="49"/>
        <v>0</v>
      </c>
    </row>
    <row r="201" spans="3:29" s="189" customFormat="1" x14ac:dyDescent="0.2">
      <c r="C201" s="129">
        <v>192</v>
      </c>
      <c r="D201" s="190">
        <f t="shared" si="50"/>
        <v>45483</v>
      </c>
      <c r="E201" s="129">
        <f t="shared" si="38"/>
        <v>7</v>
      </c>
      <c r="F201" s="191">
        <f t="shared" si="39"/>
        <v>45483</v>
      </c>
      <c r="G201" s="129">
        <f t="shared" si="40"/>
        <v>28</v>
      </c>
      <c r="H201" s="129">
        <f t="shared" si="41"/>
        <v>10</v>
      </c>
      <c r="I201" s="129">
        <f t="shared" si="42"/>
        <v>3</v>
      </c>
      <c r="J201" s="192">
        <f t="shared" si="43"/>
        <v>45483</v>
      </c>
      <c r="K201" s="129" t="str" cm="1">
        <f t="array" ref="K201">IF(AND(I201&lt;7,INDEX(B_tblFTMatrix,$E201,$H201)="x"),"ft","")</f>
        <v/>
      </c>
      <c r="L201" s="129"/>
      <c r="M201" s="129"/>
      <c r="N201" s="129">
        <f t="shared" si="34"/>
        <v>1</v>
      </c>
      <c r="O201" s="129">
        <f t="shared" si="44"/>
        <v>1</v>
      </c>
      <c r="P201" s="231">
        <f t="shared" si="35"/>
        <v>8</v>
      </c>
      <c r="Q201" s="233" cm="1">
        <f t="array" ref="Q201">SUMPRODUCT((H_tblBGTage=I201)*(H_tblBGMnt=E201)*H_tblBG%)</f>
        <v>1</v>
      </c>
      <c r="R201" s="231">
        <f t="shared" si="45"/>
        <v>8</v>
      </c>
      <c r="S201" s="237"/>
      <c r="T201" s="237"/>
      <c r="U201" s="236" cm="1">
        <f t="array" ref="U201">SUMPRODUCT((JUL!M_Verweiszeile=$H201)*JUL!M_ProdTag*(JUL!M_Monat=$E201))</f>
        <v>0</v>
      </c>
      <c r="V201" s="236" cm="1">
        <f t="array" ref="V201">SUMPRODUCT((JUL!M_Verweiszeile=$H201)*JUL!M_ProdN1*(JUL!M_Monat=$E201))</f>
        <v>0</v>
      </c>
      <c r="W201" s="236" cm="1">
        <f t="array" ref="W201">SUMPRODUCT((JUL!M_Verweiszeile=$H201)*JUL!M_ProdN2*(JUL!M_Monat=$E201))</f>
        <v>0</v>
      </c>
      <c r="X201" s="236">
        <f t="shared" si="46"/>
        <v>0</v>
      </c>
      <c r="Y201" s="236">
        <f t="shared" si="36"/>
        <v>0</v>
      </c>
      <c r="Z201" s="236">
        <f t="shared" si="37"/>
        <v>0</v>
      </c>
      <c r="AA201" s="236">
        <f t="shared" si="47"/>
        <v>0</v>
      </c>
      <c r="AB201" s="236">
        <f t="shared" si="48"/>
        <v>0</v>
      </c>
      <c r="AC201" s="236">
        <f t="shared" si="49"/>
        <v>0</v>
      </c>
    </row>
    <row r="202" spans="3:29" s="189" customFormat="1" x14ac:dyDescent="0.2">
      <c r="C202" s="129">
        <v>193</v>
      </c>
      <c r="D202" s="190">
        <f t="shared" si="50"/>
        <v>45484</v>
      </c>
      <c r="E202" s="129">
        <f t="shared" si="38"/>
        <v>7</v>
      </c>
      <c r="F202" s="191">
        <f t="shared" si="39"/>
        <v>45484</v>
      </c>
      <c r="G202" s="129">
        <f t="shared" si="40"/>
        <v>28</v>
      </c>
      <c r="H202" s="129">
        <f t="shared" si="41"/>
        <v>11</v>
      </c>
      <c r="I202" s="129">
        <f t="shared" si="42"/>
        <v>4</v>
      </c>
      <c r="J202" s="192">
        <f t="shared" si="43"/>
        <v>45484</v>
      </c>
      <c r="K202" s="129" t="str" cm="1">
        <f t="array" ref="K202">IF(AND(I202&lt;7,INDEX(B_tblFTMatrix,$E202,$H202)="x"),"ft","")</f>
        <v/>
      </c>
      <c r="L202" s="129"/>
      <c r="M202" s="129"/>
      <c r="N202" s="129">
        <f t="shared" ref="N202:N265" si="51">IF(I202&lt;6,1,0)</f>
        <v>1</v>
      </c>
      <c r="O202" s="129">
        <f t="shared" si="44"/>
        <v>1</v>
      </c>
      <c r="P202" s="231">
        <f t="shared" ref="P202:P265" si="52">IFERROR($E$3*N202,0)</f>
        <v>8</v>
      </c>
      <c r="Q202" s="233" cm="1">
        <f t="array" ref="Q202">SUMPRODUCT((H_tblBGTage=I202)*(H_tblBGMnt=E202)*H_tblBG%)</f>
        <v>1</v>
      </c>
      <c r="R202" s="231">
        <f t="shared" si="45"/>
        <v>8</v>
      </c>
      <c r="S202" s="237"/>
      <c r="T202" s="237"/>
      <c r="U202" s="236" cm="1">
        <f t="array" ref="U202">SUMPRODUCT((JUL!M_Verweiszeile=$H202)*JUL!M_ProdTag*(JUL!M_Monat=$E202))</f>
        <v>0</v>
      </c>
      <c r="V202" s="236" cm="1">
        <f t="array" ref="V202">SUMPRODUCT((JUL!M_Verweiszeile=$H202)*JUL!M_ProdN1*(JUL!M_Monat=$E202))</f>
        <v>0</v>
      </c>
      <c r="W202" s="236" cm="1">
        <f t="array" ref="W202">SUMPRODUCT((JUL!M_Verweiszeile=$H202)*JUL!M_ProdN2*(JUL!M_Monat=$E202))</f>
        <v>0</v>
      </c>
      <c r="X202" s="236">
        <f t="shared" si="46"/>
        <v>0</v>
      </c>
      <c r="Y202" s="236">
        <f t="shared" ref="Y202:Y265" si="53">IFERROR(IF($K202="ft",R202,0),0)</f>
        <v>0</v>
      </c>
      <c r="Z202" s="236">
        <f t="shared" ref="Z202:Z265" si="54">SUM(V202:W202)*A_fldZ2</f>
        <v>0</v>
      </c>
      <c r="AA202" s="236">
        <f t="shared" si="47"/>
        <v>0</v>
      </c>
      <c r="AB202" s="236">
        <f t="shared" si="48"/>
        <v>0</v>
      </c>
      <c r="AC202" s="236">
        <f t="shared" si="49"/>
        <v>0</v>
      </c>
    </row>
    <row r="203" spans="3:29" s="189" customFormat="1" x14ac:dyDescent="0.2">
      <c r="C203" s="129">
        <v>194</v>
      </c>
      <c r="D203" s="190">
        <f t="shared" si="50"/>
        <v>45485</v>
      </c>
      <c r="E203" s="129">
        <f t="shared" ref="E203:E266" si="55">MONTH(D203)</f>
        <v>7</v>
      </c>
      <c r="F203" s="191">
        <f t="shared" ref="F203:F266" si="56">D203</f>
        <v>45485</v>
      </c>
      <c r="G203" s="129">
        <f t="shared" ref="G203:G266" si="57">_xlfn.ISOWEEKNUM(D203)</f>
        <v>28</v>
      </c>
      <c r="H203" s="129">
        <f t="shared" ref="H203:H266" si="58">DAY(D203)</f>
        <v>12</v>
      </c>
      <c r="I203" s="129">
        <f t="shared" ref="I203:I266" si="59">WEEKDAY(D203,2)</f>
        <v>5</v>
      </c>
      <c r="J203" s="192">
        <f t="shared" ref="J203:J266" si="60">D203</f>
        <v>45485</v>
      </c>
      <c r="K203" s="129" t="str" cm="1">
        <f t="array" ref="K203">IF(AND(I203&lt;7,INDEX(B_tblFTMatrix,$E203,$H203)="x"),"ft","")</f>
        <v/>
      </c>
      <c r="L203" s="129"/>
      <c r="M203" s="129"/>
      <c r="N203" s="129">
        <f t="shared" si="51"/>
        <v>1</v>
      </c>
      <c r="O203" s="129">
        <f t="shared" ref="O203:O266" si="61">IF(AND(L203&lt;&gt;"x",N203),1,0)</f>
        <v>1</v>
      </c>
      <c r="P203" s="231">
        <f t="shared" si="52"/>
        <v>8</v>
      </c>
      <c r="Q203" s="233" cm="1">
        <f t="array" ref="Q203">SUMPRODUCT((H_tblBGTage=I203)*(H_tblBGMnt=E203)*H_tblBG%)</f>
        <v>1</v>
      </c>
      <c r="R203" s="231">
        <f t="shared" ref="R203:R266" si="62">IFERROR(P203*Q203,0)</f>
        <v>8</v>
      </c>
      <c r="S203" s="237"/>
      <c r="T203" s="237"/>
      <c r="U203" s="236" cm="1">
        <f t="array" ref="U203">SUMPRODUCT((JUL!M_Verweiszeile=$H203)*JUL!M_ProdTag*(JUL!M_Monat=$E203))</f>
        <v>0</v>
      </c>
      <c r="V203" s="236" cm="1">
        <f t="array" ref="V203">SUMPRODUCT((JUL!M_Verweiszeile=$H203)*JUL!M_ProdN1*(JUL!M_Monat=$E203))</f>
        <v>0</v>
      </c>
      <c r="W203" s="236" cm="1">
        <f t="array" ref="W203">SUMPRODUCT((JUL!M_Verweiszeile=$H203)*JUL!M_ProdN2*(JUL!M_Monat=$E203))</f>
        <v>0</v>
      </c>
      <c r="X203" s="236">
        <f t="shared" ref="X203:X266" si="63">SUM(U203:W203)</f>
        <v>0</v>
      </c>
      <c r="Y203" s="236">
        <f t="shared" si="53"/>
        <v>0</v>
      </c>
      <c r="Z203" s="236">
        <f t="shared" si="54"/>
        <v>0</v>
      </c>
      <c r="AA203" s="236">
        <f t="shared" ref="AA203:AA266" si="64">IF(OR(I203=7,K203="ft"),X203,0)</f>
        <v>0</v>
      </c>
      <c r="AB203" s="236">
        <f t="shared" ref="AB203:AB266" si="65">SUM(Y203:AA203)</f>
        <v>0</v>
      </c>
      <c r="AC203" s="236">
        <f t="shared" ref="AC203:AC266" si="66">X203+AB203</f>
        <v>0</v>
      </c>
    </row>
    <row r="204" spans="3:29" s="189" customFormat="1" x14ac:dyDescent="0.2">
      <c r="C204" s="129">
        <v>195</v>
      </c>
      <c r="D204" s="190">
        <f t="shared" ref="D204:D267" si="67">D203+1</f>
        <v>45486</v>
      </c>
      <c r="E204" s="129">
        <f t="shared" si="55"/>
        <v>7</v>
      </c>
      <c r="F204" s="191">
        <f t="shared" si="56"/>
        <v>45486</v>
      </c>
      <c r="G204" s="129">
        <f t="shared" si="57"/>
        <v>28</v>
      </c>
      <c r="H204" s="129">
        <f t="shared" si="58"/>
        <v>13</v>
      </c>
      <c r="I204" s="129">
        <f t="shared" si="59"/>
        <v>6</v>
      </c>
      <c r="J204" s="192">
        <f t="shared" si="60"/>
        <v>45486</v>
      </c>
      <c r="K204" s="129" t="str" cm="1">
        <f t="array" ref="K204">IF(AND(I204&lt;7,INDEX(B_tblFTMatrix,$E204,$H204)="x"),"ft","")</f>
        <v/>
      </c>
      <c r="L204" s="129"/>
      <c r="M204" s="129"/>
      <c r="N204" s="129">
        <f t="shared" si="51"/>
        <v>0</v>
      </c>
      <c r="O204" s="129">
        <f t="shared" si="61"/>
        <v>0</v>
      </c>
      <c r="P204" s="231">
        <f t="shared" si="52"/>
        <v>0</v>
      </c>
      <c r="Q204" s="233" cm="1">
        <f t="array" ref="Q204">SUMPRODUCT((H_tblBGTage=I204)*(H_tblBGMnt=E204)*H_tblBG%)</f>
        <v>0</v>
      </c>
      <c r="R204" s="231">
        <f t="shared" si="62"/>
        <v>0</v>
      </c>
      <c r="S204" s="237"/>
      <c r="T204" s="237"/>
      <c r="U204" s="236" cm="1">
        <f t="array" ref="U204">SUMPRODUCT((JUL!M_Verweiszeile=$H204)*JUL!M_ProdTag*(JUL!M_Monat=$E204))</f>
        <v>0</v>
      </c>
      <c r="V204" s="236" cm="1">
        <f t="array" ref="V204">SUMPRODUCT((JUL!M_Verweiszeile=$H204)*JUL!M_ProdN1*(JUL!M_Monat=$E204))</f>
        <v>0</v>
      </c>
      <c r="W204" s="236" cm="1">
        <f t="array" ref="W204">SUMPRODUCT((JUL!M_Verweiszeile=$H204)*JUL!M_ProdN2*(JUL!M_Monat=$E204))</f>
        <v>0</v>
      </c>
      <c r="X204" s="236">
        <f t="shared" si="63"/>
        <v>0</v>
      </c>
      <c r="Y204" s="236">
        <f t="shared" si="53"/>
        <v>0</v>
      </c>
      <c r="Z204" s="236">
        <f t="shared" si="54"/>
        <v>0</v>
      </c>
      <c r="AA204" s="236">
        <f t="shared" si="64"/>
        <v>0</v>
      </c>
      <c r="AB204" s="236">
        <f t="shared" si="65"/>
        <v>0</v>
      </c>
      <c r="AC204" s="236">
        <f t="shared" si="66"/>
        <v>0</v>
      </c>
    </row>
    <row r="205" spans="3:29" s="189" customFormat="1" x14ac:dyDescent="0.2">
      <c r="C205" s="129">
        <v>196</v>
      </c>
      <c r="D205" s="190">
        <f t="shared" si="67"/>
        <v>45487</v>
      </c>
      <c r="E205" s="129">
        <f t="shared" si="55"/>
        <v>7</v>
      </c>
      <c r="F205" s="191">
        <f t="shared" si="56"/>
        <v>45487</v>
      </c>
      <c r="G205" s="129">
        <f t="shared" si="57"/>
        <v>28</v>
      </c>
      <c r="H205" s="129">
        <f t="shared" si="58"/>
        <v>14</v>
      </c>
      <c r="I205" s="129">
        <f t="shared" si="59"/>
        <v>7</v>
      </c>
      <c r="J205" s="192">
        <f t="shared" si="60"/>
        <v>45487</v>
      </c>
      <c r="K205" s="129" t="str" cm="1">
        <f t="array" ref="K205">IF(AND(I205&lt;7,INDEX(B_tblFTMatrix,$E205,$H205)="x"),"ft","")</f>
        <v/>
      </c>
      <c r="L205" s="129"/>
      <c r="M205" s="129"/>
      <c r="N205" s="129">
        <f t="shared" si="51"/>
        <v>0</v>
      </c>
      <c r="O205" s="129">
        <f t="shared" si="61"/>
        <v>0</v>
      </c>
      <c r="P205" s="231">
        <f t="shared" si="52"/>
        <v>0</v>
      </c>
      <c r="Q205" s="233" cm="1">
        <f t="array" ref="Q205">SUMPRODUCT((H_tblBGTage=I205)*(H_tblBGMnt=E205)*H_tblBG%)</f>
        <v>0</v>
      </c>
      <c r="R205" s="231">
        <f t="shared" si="62"/>
        <v>0</v>
      </c>
      <c r="S205" s="237"/>
      <c r="T205" s="237"/>
      <c r="U205" s="236" cm="1">
        <f t="array" ref="U205">SUMPRODUCT((JUL!M_Verweiszeile=$H205)*JUL!M_ProdTag*(JUL!M_Monat=$E205))</f>
        <v>0</v>
      </c>
      <c r="V205" s="236" cm="1">
        <f t="array" ref="V205">SUMPRODUCT((JUL!M_Verweiszeile=$H205)*JUL!M_ProdN1*(JUL!M_Monat=$E205))</f>
        <v>0</v>
      </c>
      <c r="W205" s="236" cm="1">
        <f t="array" ref="W205">SUMPRODUCT((JUL!M_Verweiszeile=$H205)*JUL!M_ProdN2*(JUL!M_Monat=$E205))</f>
        <v>0</v>
      </c>
      <c r="X205" s="236">
        <f t="shared" si="63"/>
        <v>0</v>
      </c>
      <c r="Y205" s="236">
        <f t="shared" si="53"/>
        <v>0</v>
      </c>
      <c r="Z205" s="236">
        <f t="shared" si="54"/>
        <v>0</v>
      </c>
      <c r="AA205" s="236">
        <f t="shared" si="64"/>
        <v>0</v>
      </c>
      <c r="AB205" s="236">
        <f t="shared" si="65"/>
        <v>0</v>
      </c>
      <c r="AC205" s="236">
        <f t="shared" si="66"/>
        <v>0</v>
      </c>
    </row>
    <row r="206" spans="3:29" s="189" customFormat="1" x14ac:dyDescent="0.2">
      <c r="C206" s="129">
        <v>197</v>
      </c>
      <c r="D206" s="190">
        <f t="shared" si="67"/>
        <v>45488</v>
      </c>
      <c r="E206" s="129">
        <f t="shared" si="55"/>
        <v>7</v>
      </c>
      <c r="F206" s="191">
        <f t="shared" si="56"/>
        <v>45488</v>
      </c>
      <c r="G206" s="129">
        <f t="shared" si="57"/>
        <v>29</v>
      </c>
      <c r="H206" s="129">
        <f t="shared" si="58"/>
        <v>15</v>
      </c>
      <c r="I206" s="129">
        <f t="shared" si="59"/>
        <v>1</v>
      </c>
      <c r="J206" s="192">
        <f t="shared" si="60"/>
        <v>45488</v>
      </c>
      <c r="K206" s="129" t="str" cm="1">
        <f t="array" ref="K206">IF(AND(I206&lt;7,INDEX(B_tblFTMatrix,$E206,$H206)="x"),"ft","")</f>
        <v/>
      </c>
      <c r="L206" s="129"/>
      <c r="M206" s="129"/>
      <c r="N206" s="129">
        <f t="shared" si="51"/>
        <v>1</v>
      </c>
      <c r="O206" s="129">
        <f t="shared" si="61"/>
        <v>1</v>
      </c>
      <c r="P206" s="231">
        <f t="shared" si="52"/>
        <v>8</v>
      </c>
      <c r="Q206" s="233" cm="1">
        <f t="array" ref="Q206">SUMPRODUCT((H_tblBGTage=I206)*(H_tblBGMnt=E206)*H_tblBG%)</f>
        <v>1</v>
      </c>
      <c r="R206" s="231">
        <f t="shared" si="62"/>
        <v>8</v>
      </c>
      <c r="S206" s="237"/>
      <c r="T206" s="237"/>
      <c r="U206" s="236" cm="1">
        <f t="array" ref="U206">SUMPRODUCT((JUL!M_Verweiszeile=$H206)*JUL!M_ProdTag*(JUL!M_Monat=$E206))</f>
        <v>0</v>
      </c>
      <c r="V206" s="236" cm="1">
        <f t="array" ref="V206">SUMPRODUCT((JUL!M_Verweiszeile=$H206)*JUL!M_ProdN1*(JUL!M_Monat=$E206))</f>
        <v>0</v>
      </c>
      <c r="W206" s="236" cm="1">
        <f t="array" ref="W206">SUMPRODUCT((JUL!M_Verweiszeile=$H206)*JUL!M_ProdN2*(JUL!M_Monat=$E206))</f>
        <v>0</v>
      </c>
      <c r="X206" s="236">
        <f t="shared" si="63"/>
        <v>0</v>
      </c>
      <c r="Y206" s="236">
        <f t="shared" si="53"/>
        <v>0</v>
      </c>
      <c r="Z206" s="236">
        <f t="shared" si="54"/>
        <v>0</v>
      </c>
      <c r="AA206" s="236">
        <f t="shared" si="64"/>
        <v>0</v>
      </c>
      <c r="AB206" s="236">
        <f t="shared" si="65"/>
        <v>0</v>
      </c>
      <c r="AC206" s="236">
        <f t="shared" si="66"/>
        <v>0</v>
      </c>
    </row>
    <row r="207" spans="3:29" s="189" customFormat="1" x14ac:dyDescent="0.2">
      <c r="C207" s="129">
        <v>198</v>
      </c>
      <c r="D207" s="190">
        <f t="shared" si="67"/>
        <v>45489</v>
      </c>
      <c r="E207" s="129">
        <f t="shared" si="55"/>
        <v>7</v>
      </c>
      <c r="F207" s="191">
        <f t="shared" si="56"/>
        <v>45489</v>
      </c>
      <c r="G207" s="129">
        <f t="shared" si="57"/>
        <v>29</v>
      </c>
      <c r="H207" s="129">
        <f t="shared" si="58"/>
        <v>16</v>
      </c>
      <c r="I207" s="129">
        <f t="shared" si="59"/>
        <v>2</v>
      </c>
      <c r="J207" s="192">
        <f t="shared" si="60"/>
        <v>45489</v>
      </c>
      <c r="K207" s="129" t="str" cm="1">
        <f t="array" ref="K207">IF(AND(I207&lt;7,INDEX(B_tblFTMatrix,$E207,$H207)="x"),"ft","")</f>
        <v/>
      </c>
      <c r="L207" s="129"/>
      <c r="M207" s="129"/>
      <c r="N207" s="129">
        <f t="shared" si="51"/>
        <v>1</v>
      </c>
      <c r="O207" s="129">
        <f t="shared" si="61"/>
        <v>1</v>
      </c>
      <c r="P207" s="231">
        <f t="shared" si="52"/>
        <v>8</v>
      </c>
      <c r="Q207" s="233" cm="1">
        <f t="array" ref="Q207">SUMPRODUCT((H_tblBGTage=I207)*(H_tblBGMnt=E207)*H_tblBG%)</f>
        <v>1</v>
      </c>
      <c r="R207" s="231">
        <f t="shared" si="62"/>
        <v>8</v>
      </c>
      <c r="S207" s="237"/>
      <c r="T207" s="237"/>
      <c r="U207" s="236" cm="1">
        <f t="array" ref="U207">SUMPRODUCT((JUL!M_Verweiszeile=$H207)*JUL!M_ProdTag*(JUL!M_Monat=$E207))</f>
        <v>0</v>
      </c>
      <c r="V207" s="236" cm="1">
        <f t="array" ref="V207">SUMPRODUCT((JUL!M_Verweiszeile=$H207)*JUL!M_ProdN1*(JUL!M_Monat=$E207))</f>
        <v>0</v>
      </c>
      <c r="W207" s="236" cm="1">
        <f t="array" ref="W207">SUMPRODUCT((JUL!M_Verweiszeile=$H207)*JUL!M_ProdN2*(JUL!M_Monat=$E207))</f>
        <v>0</v>
      </c>
      <c r="X207" s="236">
        <f t="shared" si="63"/>
        <v>0</v>
      </c>
      <c r="Y207" s="236">
        <f t="shared" si="53"/>
        <v>0</v>
      </c>
      <c r="Z207" s="236">
        <f t="shared" si="54"/>
        <v>0</v>
      </c>
      <c r="AA207" s="236">
        <f t="shared" si="64"/>
        <v>0</v>
      </c>
      <c r="AB207" s="236">
        <f t="shared" si="65"/>
        <v>0</v>
      </c>
      <c r="AC207" s="236">
        <f t="shared" si="66"/>
        <v>0</v>
      </c>
    </row>
    <row r="208" spans="3:29" s="189" customFormat="1" x14ac:dyDescent="0.2">
      <c r="C208" s="129">
        <v>199</v>
      </c>
      <c r="D208" s="190">
        <f t="shared" si="67"/>
        <v>45490</v>
      </c>
      <c r="E208" s="129">
        <f t="shared" si="55"/>
        <v>7</v>
      </c>
      <c r="F208" s="191">
        <f t="shared" si="56"/>
        <v>45490</v>
      </c>
      <c r="G208" s="129">
        <f t="shared" si="57"/>
        <v>29</v>
      </c>
      <c r="H208" s="129">
        <f t="shared" si="58"/>
        <v>17</v>
      </c>
      <c r="I208" s="129">
        <f t="shared" si="59"/>
        <v>3</v>
      </c>
      <c r="J208" s="192">
        <f t="shared" si="60"/>
        <v>45490</v>
      </c>
      <c r="K208" s="129" t="str" cm="1">
        <f t="array" ref="K208">IF(AND(I208&lt;7,INDEX(B_tblFTMatrix,$E208,$H208)="x"),"ft","")</f>
        <v/>
      </c>
      <c r="L208" s="129"/>
      <c r="M208" s="129"/>
      <c r="N208" s="129">
        <f t="shared" si="51"/>
        <v>1</v>
      </c>
      <c r="O208" s="129">
        <f t="shared" si="61"/>
        <v>1</v>
      </c>
      <c r="P208" s="231">
        <f t="shared" si="52"/>
        <v>8</v>
      </c>
      <c r="Q208" s="233" cm="1">
        <f t="array" ref="Q208">SUMPRODUCT((H_tblBGTage=I208)*(H_tblBGMnt=E208)*H_tblBG%)</f>
        <v>1</v>
      </c>
      <c r="R208" s="231">
        <f t="shared" si="62"/>
        <v>8</v>
      </c>
      <c r="S208" s="237"/>
      <c r="T208" s="237"/>
      <c r="U208" s="236" cm="1">
        <f t="array" ref="U208">SUMPRODUCT((JUL!M_Verweiszeile=$H208)*JUL!M_ProdTag*(JUL!M_Monat=$E208))</f>
        <v>0</v>
      </c>
      <c r="V208" s="236" cm="1">
        <f t="array" ref="V208">SUMPRODUCT((JUL!M_Verweiszeile=$H208)*JUL!M_ProdN1*(JUL!M_Monat=$E208))</f>
        <v>0</v>
      </c>
      <c r="W208" s="236" cm="1">
        <f t="array" ref="W208">SUMPRODUCT((JUL!M_Verweiszeile=$H208)*JUL!M_ProdN2*(JUL!M_Monat=$E208))</f>
        <v>0</v>
      </c>
      <c r="X208" s="236">
        <f t="shared" si="63"/>
        <v>0</v>
      </c>
      <c r="Y208" s="236">
        <f t="shared" si="53"/>
        <v>0</v>
      </c>
      <c r="Z208" s="236">
        <f t="shared" si="54"/>
        <v>0</v>
      </c>
      <c r="AA208" s="236">
        <f t="shared" si="64"/>
        <v>0</v>
      </c>
      <c r="AB208" s="236">
        <f t="shared" si="65"/>
        <v>0</v>
      </c>
      <c r="AC208" s="236">
        <f t="shared" si="66"/>
        <v>0</v>
      </c>
    </row>
    <row r="209" spans="3:29" s="189" customFormat="1" x14ac:dyDescent="0.2">
      <c r="C209" s="129">
        <v>200</v>
      </c>
      <c r="D209" s="190">
        <f t="shared" si="67"/>
        <v>45491</v>
      </c>
      <c r="E209" s="129">
        <f t="shared" si="55"/>
        <v>7</v>
      </c>
      <c r="F209" s="191">
        <f t="shared" si="56"/>
        <v>45491</v>
      </c>
      <c r="G209" s="129">
        <f t="shared" si="57"/>
        <v>29</v>
      </c>
      <c r="H209" s="129">
        <f t="shared" si="58"/>
        <v>18</v>
      </c>
      <c r="I209" s="129">
        <f t="shared" si="59"/>
        <v>4</v>
      </c>
      <c r="J209" s="192">
        <f t="shared" si="60"/>
        <v>45491</v>
      </c>
      <c r="K209" s="129" t="str" cm="1">
        <f t="array" ref="K209">IF(AND(I209&lt;7,INDEX(B_tblFTMatrix,$E209,$H209)="x"),"ft","")</f>
        <v/>
      </c>
      <c r="L209" s="129"/>
      <c r="M209" s="129"/>
      <c r="N209" s="129">
        <f t="shared" si="51"/>
        <v>1</v>
      </c>
      <c r="O209" s="129">
        <f t="shared" si="61"/>
        <v>1</v>
      </c>
      <c r="P209" s="231">
        <f t="shared" si="52"/>
        <v>8</v>
      </c>
      <c r="Q209" s="233" cm="1">
        <f t="array" ref="Q209">SUMPRODUCT((H_tblBGTage=I209)*(H_tblBGMnt=E209)*H_tblBG%)</f>
        <v>1</v>
      </c>
      <c r="R209" s="231">
        <f t="shared" si="62"/>
        <v>8</v>
      </c>
      <c r="S209" s="237"/>
      <c r="T209" s="237"/>
      <c r="U209" s="236" cm="1">
        <f t="array" ref="U209">SUMPRODUCT((JUL!M_Verweiszeile=$H209)*JUL!M_ProdTag*(JUL!M_Monat=$E209))</f>
        <v>0</v>
      </c>
      <c r="V209" s="236" cm="1">
        <f t="array" ref="V209">SUMPRODUCT((JUL!M_Verweiszeile=$H209)*JUL!M_ProdN1*(JUL!M_Monat=$E209))</f>
        <v>0</v>
      </c>
      <c r="W209" s="236" cm="1">
        <f t="array" ref="W209">SUMPRODUCT((JUL!M_Verweiszeile=$H209)*JUL!M_ProdN2*(JUL!M_Monat=$E209))</f>
        <v>0</v>
      </c>
      <c r="X209" s="236">
        <f t="shared" si="63"/>
        <v>0</v>
      </c>
      <c r="Y209" s="236">
        <f t="shared" si="53"/>
        <v>0</v>
      </c>
      <c r="Z209" s="236">
        <f t="shared" si="54"/>
        <v>0</v>
      </c>
      <c r="AA209" s="236">
        <f t="shared" si="64"/>
        <v>0</v>
      </c>
      <c r="AB209" s="236">
        <f t="shared" si="65"/>
        <v>0</v>
      </c>
      <c r="AC209" s="236">
        <f t="shared" si="66"/>
        <v>0</v>
      </c>
    </row>
    <row r="210" spans="3:29" s="189" customFormat="1" x14ac:dyDescent="0.2">
      <c r="C210" s="129">
        <v>201</v>
      </c>
      <c r="D210" s="190">
        <f t="shared" si="67"/>
        <v>45492</v>
      </c>
      <c r="E210" s="129">
        <f t="shared" si="55"/>
        <v>7</v>
      </c>
      <c r="F210" s="191">
        <f t="shared" si="56"/>
        <v>45492</v>
      </c>
      <c r="G210" s="129">
        <f t="shared" si="57"/>
        <v>29</v>
      </c>
      <c r="H210" s="129">
        <f t="shared" si="58"/>
        <v>19</v>
      </c>
      <c r="I210" s="129">
        <f t="shared" si="59"/>
        <v>5</v>
      </c>
      <c r="J210" s="192">
        <f t="shared" si="60"/>
        <v>45492</v>
      </c>
      <c r="K210" s="129" t="str" cm="1">
        <f t="array" ref="K210">IF(AND(I210&lt;7,INDEX(B_tblFTMatrix,$E210,$H210)="x"),"ft","")</f>
        <v/>
      </c>
      <c r="L210" s="129"/>
      <c r="M210" s="129"/>
      <c r="N210" s="129">
        <f t="shared" si="51"/>
        <v>1</v>
      </c>
      <c r="O210" s="129">
        <f t="shared" si="61"/>
        <v>1</v>
      </c>
      <c r="P210" s="231">
        <f t="shared" si="52"/>
        <v>8</v>
      </c>
      <c r="Q210" s="233" cm="1">
        <f t="array" ref="Q210">SUMPRODUCT((H_tblBGTage=I210)*(H_tblBGMnt=E210)*H_tblBG%)</f>
        <v>1</v>
      </c>
      <c r="R210" s="231">
        <f t="shared" si="62"/>
        <v>8</v>
      </c>
      <c r="S210" s="237"/>
      <c r="T210" s="237"/>
      <c r="U210" s="236" cm="1">
        <f t="array" ref="U210">SUMPRODUCT((JUL!M_Verweiszeile=$H210)*JUL!M_ProdTag*(JUL!M_Monat=$E210))</f>
        <v>0</v>
      </c>
      <c r="V210" s="236" cm="1">
        <f t="array" ref="V210">SUMPRODUCT((JUL!M_Verweiszeile=$H210)*JUL!M_ProdN1*(JUL!M_Monat=$E210))</f>
        <v>0</v>
      </c>
      <c r="W210" s="236" cm="1">
        <f t="array" ref="W210">SUMPRODUCT((JUL!M_Verweiszeile=$H210)*JUL!M_ProdN2*(JUL!M_Monat=$E210))</f>
        <v>0</v>
      </c>
      <c r="X210" s="236">
        <f t="shared" si="63"/>
        <v>0</v>
      </c>
      <c r="Y210" s="236">
        <f t="shared" si="53"/>
        <v>0</v>
      </c>
      <c r="Z210" s="236">
        <f t="shared" si="54"/>
        <v>0</v>
      </c>
      <c r="AA210" s="236">
        <f t="shared" si="64"/>
        <v>0</v>
      </c>
      <c r="AB210" s="236">
        <f t="shared" si="65"/>
        <v>0</v>
      </c>
      <c r="AC210" s="236">
        <f t="shared" si="66"/>
        <v>0</v>
      </c>
    </row>
    <row r="211" spans="3:29" s="189" customFormat="1" x14ac:dyDescent="0.2">
      <c r="C211" s="129">
        <v>202</v>
      </c>
      <c r="D211" s="190">
        <f t="shared" si="67"/>
        <v>45493</v>
      </c>
      <c r="E211" s="129">
        <f t="shared" si="55"/>
        <v>7</v>
      </c>
      <c r="F211" s="191">
        <f t="shared" si="56"/>
        <v>45493</v>
      </c>
      <c r="G211" s="129">
        <f t="shared" si="57"/>
        <v>29</v>
      </c>
      <c r="H211" s="129">
        <f t="shared" si="58"/>
        <v>20</v>
      </c>
      <c r="I211" s="129">
        <f t="shared" si="59"/>
        <v>6</v>
      </c>
      <c r="J211" s="192">
        <f t="shared" si="60"/>
        <v>45493</v>
      </c>
      <c r="K211" s="129" t="str" cm="1">
        <f t="array" ref="K211">IF(AND(I211&lt;7,INDEX(B_tblFTMatrix,$E211,$H211)="x"),"ft","")</f>
        <v/>
      </c>
      <c r="L211" s="129"/>
      <c r="M211" s="129"/>
      <c r="N211" s="129">
        <f t="shared" si="51"/>
        <v>0</v>
      </c>
      <c r="O211" s="129">
        <f t="shared" si="61"/>
        <v>0</v>
      </c>
      <c r="P211" s="231">
        <f t="shared" si="52"/>
        <v>0</v>
      </c>
      <c r="Q211" s="233" cm="1">
        <f t="array" ref="Q211">SUMPRODUCT((H_tblBGTage=I211)*(H_tblBGMnt=E211)*H_tblBG%)</f>
        <v>0</v>
      </c>
      <c r="R211" s="231">
        <f t="shared" si="62"/>
        <v>0</v>
      </c>
      <c r="S211" s="237"/>
      <c r="T211" s="237"/>
      <c r="U211" s="236" cm="1">
        <f t="array" ref="U211">SUMPRODUCT((JUL!M_Verweiszeile=$H211)*JUL!M_ProdTag*(JUL!M_Monat=$E211))</f>
        <v>0</v>
      </c>
      <c r="V211" s="236" cm="1">
        <f t="array" ref="V211">SUMPRODUCT((JUL!M_Verweiszeile=$H211)*JUL!M_ProdN1*(JUL!M_Monat=$E211))</f>
        <v>0</v>
      </c>
      <c r="W211" s="236" cm="1">
        <f t="array" ref="W211">SUMPRODUCT((JUL!M_Verweiszeile=$H211)*JUL!M_ProdN2*(JUL!M_Monat=$E211))</f>
        <v>0</v>
      </c>
      <c r="X211" s="236">
        <f t="shared" si="63"/>
        <v>0</v>
      </c>
      <c r="Y211" s="236">
        <f t="shared" si="53"/>
        <v>0</v>
      </c>
      <c r="Z211" s="236">
        <f t="shared" si="54"/>
        <v>0</v>
      </c>
      <c r="AA211" s="236">
        <f t="shared" si="64"/>
        <v>0</v>
      </c>
      <c r="AB211" s="236">
        <f t="shared" si="65"/>
        <v>0</v>
      </c>
      <c r="AC211" s="236">
        <f t="shared" si="66"/>
        <v>0</v>
      </c>
    </row>
    <row r="212" spans="3:29" s="189" customFormat="1" x14ac:dyDescent="0.2">
      <c r="C212" s="129">
        <v>203</v>
      </c>
      <c r="D212" s="190">
        <f t="shared" si="67"/>
        <v>45494</v>
      </c>
      <c r="E212" s="129">
        <f t="shared" si="55"/>
        <v>7</v>
      </c>
      <c r="F212" s="191">
        <f t="shared" si="56"/>
        <v>45494</v>
      </c>
      <c r="G212" s="129">
        <f t="shared" si="57"/>
        <v>29</v>
      </c>
      <c r="H212" s="129">
        <f t="shared" si="58"/>
        <v>21</v>
      </c>
      <c r="I212" s="129">
        <f t="shared" si="59"/>
        <v>7</v>
      </c>
      <c r="J212" s="192">
        <f t="shared" si="60"/>
        <v>45494</v>
      </c>
      <c r="K212" s="129" t="str" cm="1">
        <f t="array" ref="K212">IF(AND(I212&lt;7,INDEX(B_tblFTMatrix,$E212,$H212)="x"),"ft","")</f>
        <v/>
      </c>
      <c r="L212" s="129"/>
      <c r="M212" s="129"/>
      <c r="N212" s="129">
        <f t="shared" si="51"/>
        <v>0</v>
      </c>
      <c r="O212" s="129">
        <f t="shared" si="61"/>
        <v>0</v>
      </c>
      <c r="P212" s="231">
        <f t="shared" si="52"/>
        <v>0</v>
      </c>
      <c r="Q212" s="233" cm="1">
        <f t="array" ref="Q212">SUMPRODUCT((H_tblBGTage=I212)*(H_tblBGMnt=E212)*H_tblBG%)</f>
        <v>0</v>
      </c>
      <c r="R212" s="231">
        <f t="shared" si="62"/>
        <v>0</v>
      </c>
      <c r="S212" s="237"/>
      <c r="T212" s="237"/>
      <c r="U212" s="236" cm="1">
        <f t="array" ref="U212">SUMPRODUCT((JUL!M_Verweiszeile=$H212)*JUL!M_ProdTag*(JUL!M_Monat=$E212))</f>
        <v>0</v>
      </c>
      <c r="V212" s="236" cm="1">
        <f t="array" ref="V212">SUMPRODUCT((JUL!M_Verweiszeile=$H212)*JUL!M_ProdN1*(JUL!M_Monat=$E212))</f>
        <v>0</v>
      </c>
      <c r="W212" s="236" cm="1">
        <f t="array" ref="W212">SUMPRODUCT((JUL!M_Verweiszeile=$H212)*JUL!M_ProdN2*(JUL!M_Monat=$E212))</f>
        <v>0</v>
      </c>
      <c r="X212" s="236">
        <f t="shared" si="63"/>
        <v>0</v>
      </c>
      <c r="Y212" s="236">
        <f t="shared" si="53"/>
        <v>0</v>
      </c>
      <c r="Z212" s="236">
        <f t="shared" si="54"/>
        <v>0</v>
      </c>
      <c r="AA212" s="236">
        <f t="shared" si="64"/>
        <v>0</v>
      </c>
      <c r="AB212" s="236">
        <f t="shared" si="65"/>
        <v>0</v>
      </c>
      <c r="AC212" s="236">
        <f t="shared" si="66"/>
        <v>0</v>
      </c>
    </row>
    <row r="213" spans="3:29" s="189" customFormat="1" x14ac:dyDescent="0.2">
      <c r="C213" s="129">
        <v>204</v>
      </c>
      <c r="D213" s="190">
        <f t="shared" si="67"/>
        <v>45495</v>
      </c>
      <c r="E213" s="129">
        <f t="shared" si="55"/>
        <v>7</v>
      </c>
      <c r="F213" s="191">
        <f t="shared" si="56"/>
        <v>45495</v>
      </c>
      <c r="G213" s="129">
        <f t="shared" si="57"/>
        <v>30</v>
      </c>
      <c r="H213" s="129">
        <f t="shared" si="58"/>
        <v>22</v>
      </c>
      <c r="I213" s="129">
        <f t="shared" si="59"/>
        <v>1</v>
      </c>
      <c r="J213" s="192">
        <f t="shared" si="60"/>
        <v>45495</v>
      </c>
      <c r="K213" s="129" t="str" cm="1">
        <f t="array" ref="K213">IF(AND(I213&lt;7,INDEX(B_tblFTMatrix,$E213,$H213)="x"),"ft","")</f>
        <v/>
      </c>
      <c r="L213" s="129"/>
      <c r="M213" s="129"/>
      <c r="N213" s="129">
        <f t="shared" si="51"/>
        <v>1</v>
      </c>
      <c r="O213" s="129">
        <f t="shared" si="61"/>
        <v>1</v>
      </c>
      <c r="P213" s="231">
        <f t="shared" si="52"/>
        <v>8</v>
      </c>
      <c r="Q213" s="233" cm="1">
        <f t="array" ref="Q213">SUMPRODUCT((H_tblBGTage=I213)*(H_tblBGMnt=E213)*H_tblBG%)</f>
        <v>1</v>
      </c>
      <c r="R213" s="231">
        <f t="shared" si="62"/>
        <v>8</v>
      </c>
      <c r="S213" s="237"/>
      <c r="T213" s="237"/>
      <c r="U213" s="236" cm="1">
        <f t="array" ref="U213">SUMPRODUCT((JUL!M_Verweiszeile=$H213)*JUL!M_ProdTag*(JUL!M_Monat=$E213))</f>
        <v>0</v>
      </c>
      <c r="V213" s="236" cm="1">
        <f t="array" ref="V213">SUMPRODUCT((JUL!M_Verweiszeile=$H213)*JUL!M_ProdN1*(JUL!M_Monat=$E213))</f>
        <v>0</v>
      </c>
      <c r="W213" s="236" cm="1">
        <f t="array" ref="W213">SUMPRODUCT((JUL!M_Verweiszeile=$H213)*JUL!M_ProdN2*(JUL!M_Monat=$E213))</f>
        <v>0</v>
      </c>
      <c r="X213" s="236">
        <f t="shared" si="63"/>
        <v>0</v>
      </c>
      <c r="Y213" s="236">
        <f t="shared" si="53"/>
        <v>0</v>
      </c>
      <c r="Z213" s="236">
        <f t="shared" si="54"/>
        <v>0</v>
      </c>
      <c r="AA213" s="236">
        <f t="shared" si="64"/>
        <v>0</v>
      </c>
      <c r="AB213" s="236">
        <f t="shared" si="65"/>
        <v>0</v>
      </c>
      <c r="AC213" s="236">
        <f t="shared" si="66"/>
        <v>0</v>
      </c>
    </row>
    <row r="214" spans="3:29" s="189" customFormat="1" x14ac:dyDescent="0.2">
      <c r="C214" s="129">
        <v>205</v>
      </c>
      <c r="D214" s="190">
        <f t="shared" si="67"/>
        <v>45496</v>
      </c>
      <c r="E214" s="129">
        <f t="shared" si="55"/>
        <v>7</v>
      </c>
      <c r="F214" s="191">
        <f t="shared" si="56"/>
        <v>45496</v>
      </c>
      <c r="G214" s="129">
        <f t="shared" si="57"/>
        <v>30</v>
      </c>
      <c r="H214" s="129">
        <f t="shared" si="58"/>
        <v>23</v>
      </c>
      <c r="I214" s="129">
        <f t="shared" si="59"/>
        <v>2</v>
      </c>
      <c r="J214" s="192">
        <f t="shared" si="60"/>
        <v>45496</v>
      </c>
      <c r="K214" s="129" t="str" cm="1">
        <f t="array" ref="K214">IF(AND(I214&lt;7,INDEX(B_tblFTMatrix,$E214,$H214)="x"),"ft","")</f>
        <v/>
      </c>
      <c r="L214" s="129"/>
      <c r="M214" s="129"/>
      <c r="N214" s="129">
        <f t="shared" si="51"/>
        <v>1</v>
      </c>
      <c r="O214" s="129">
        <f t="shared" si="61"/>
        <v>1</v>
      </c>
      <c r="P214" s="231">
        <f t="shared" si="52"/>
        <v>8</v>
      </c>
      <c r="Q214" s="233" cm="1">
        <f t="array" ref="Q214">SUMPRODUCT((H_tblBGTage=I214)*(H_tblBGMnt=E214)*H_tblBG%)</f>
        <v>1</v>
      </c>
      <c r="R214" s="231">
        <f t="shared" si="62"/>
        <v>8</v>
      </c>
      <c r="S214" s="237"/>
      <c r="T214" s="237"/>
      <c r="U214" s="236" cm="1">
        <f t="array" ref="U214">SUMPRODUCT((JUL!M_Verweiszeile=$H214)*JUL!M_ProdTag*(JUL!M_Monat=$E214))</f>
        <v>0</v>
      </c>
      <c r="V214" s="236" cm="1">
        <f t="array" ref="V214">SUMPRODUCT((JUL!M_Verweiszeile=$H214)*JUL!M_ProdN1*(JUL!M_Monat=$E214))</f>
        <v>0</v>
      </c>
      <c r="W214" s="236" cm="1">
        <f t="array" ref="W214">SUMPRODUCT((JUL!M_Verweiszeile=$H214)*JUL!M_ProdN2*(JUL!M_Monat=$E214))</f>
        <v>0</v>
      </c>
      <c r="X214" s="236">
        <f t="shared" si="63"/>
        <v>0</v>
      </c>
      <c r="Y214" s="236">
        <f t="shared" si="53"/>
        <v>0</v>
      </c>
      <c r="Z214" s="236">
        <f t="shared" si="54"/>
        <v>0</v>
      </c>
      <c r="AA214" s="236">
        <f t="shared" si="64"/>
        <v>0</v>
      </c>
      <c r="AB214" s="236">
        <f t="shared" si="65"/>
        <v>0</v>
      </c>
      <c r="AC214" s="236">
        <f t="shared" si="66"/>
        <v>0</v>
      </c>
    </row>
    <row r="215" spans="3:29" s="189" customFormat="1" x14ac:dyDescent="0.2">
      <c r="C215" s="129">
        <v>206</v>
      </c>
      <c r="D215" s="190">
        <f t="shared" si="67"/>
        <v>45497</v>
      </c>
      <c r="E215" s="129">
        <f t="shared" si="55"/>
        <v>7</v>
      </c>
      <c r="F215" s="191">
        <f t="shared" si="56"/>
        <v>45497</v>
      </c>
      <c r="G215" s="129">
        <f t="shared" si="57"/>
        <v>30</v>
      </c>
      <c r="H215" s="129">
        <f t="shared" si="58"/>
        <v>24</v>
      </c>
      <c r="I215" s="129">
        <f t="shared" si="59"/>
        <v>3</v>
      </c>
      <c r="J215" s="192">
        <f t="shared" si="60"/>
        <v>45497</v>
      </c>
      <c r="K215" s="129" t="str" cm="1">
        <f t="array" ref="K215">IF(AND(I215&lt;7,INDEX(B_tblFTMatrix,$E215,$H215)="x"),"ft","")</f>
        <v/>
      </c>
      <c r="L215" s="129"/>
      <c r="M215" s="129"/>
      <c r="N215" s="129">
        <f t="shared" si="51"/>
        <v>1</v>
      </c>
      <c r="O215" s="129">
        <f t="shared" si="61"/>
        <v>1</v>
      </c>
      <c r="P215" s="231">
        <f t="shared" si="52"/>
        <v>8</v>
      </c>
      <c r="Q215" s="233" cm="1">
        <f t="array" ref="Q215">SUMPRODUCT((H_tblBGTage=I215)*(H_tblBGMnt=E215)*H_tblBG%)</f>
        <v>1</v>
      </c>
      <c r="R215" s="231">
        <f t="shared" si="62"/>
        <v>8</v>
      </c>
      <c r="S215" s="237"/>
      <c r="T215" s="237"/>
      <c r="U215" s="236" cm="1">
        <f t="array" ref="U215">SUMPRODUCT((JUL!M_Verweiszeile=$H215)*JUL!M_ProdTag*(JUL!M_Monat=$E215))</f>
        <v>0</v>
      </c>
      <c r="V215" s="236" cm="1">
        <f t="array" ref="V215">SUMPRODUCT((JUL!M_Verweiszeile=$H215)*JUL!M_ProdN1*(JUL!M_Monat=$E215))</f>
        <v>0</v>
      </c>
      <c r="W215" s="236" cm="1">
        <f t="array" ref="W215">SUMPRODUCT((JUL!M_Verweiszeile=$H215)*JUL!M_ProdN2*(JUL!M_Monat=$E215))</f>
        <v>0</v>
      </c>
      <c r="X215" s="236">
        <f t="shared" si="63"/>
        <v>0</v>
      </c>
      <c r="Y215" s="236">
        <f t="shared" si="53"/>
        <v>0</v>
      </c>
      <c r="Z215" s="236">
        <f t="shared" si="54"/>
        <v>0</v>
      </c>
      <c r="AA215" s="236">
        <f t="shared" si="64"/>
        <v>0</v>
      </c>
      <c r="AB215" s="236">
        <f t="shared" si="65"/>
        <v>0</v>
      </c>
      <c r="AC215" s="236">
        <f t="shared" si="66"/>
        <v>0</v>
      </c>
    </row>
    <row r="216" spans="3:29" s="189" customFormat="1" x14ac:dyDescent="0.2">
      <c r="C216" s="129">
        <v>207</v>
      </c>
      <c r="D216" s="190">
        <f t="shared" si="67"/>
        <v>45498</v>
      </c>
      <c r="E216" s="129">
        <f t="shared" si="55"/>
        <v>7</v>
      </c>
      <c r="F216" s="191">
        <f t="shared" si="56"/>
        <v>45498</v>
      </c>
      <c r="G216" s="129">
        <f t="shared" si="57"/>
        <v>30</v>
      </c>
      <c r="H216" s="129">
        <f t="shared" si="58"/>
        <v>25</v>
      </c>
      <c r="I216" s="129">
        <f t="shared" si="59"/>
        <v>4</v>
      </c>
      <c r="J216" s="192">
        <f t="shared" si="60"/>
        <v>45498</v>
      </c>
      <c r="K216" s="129" t="str" cm="1">
        <f t="array" ref="K216">IF(AND(I216&lt;7,INDEX(B_tblFTMatrix,$E216,$H216)="x"),"ft","")</f>
        <v/>
      </c>
      <c r="L216" s="129"/>
      <c r="M216" s="129"/>
      <c r="N216" s="129">
        <f t="shared" si="51"/>
        <v>1</v>
      </c>
      <c r="O216" s="129">
        <f t="shared" si="61"/>
        <v>1</v>
      </c>
      <c r="P216" s="231">
        <f t="shared" si="52"/>
        <v>8</v>
      </c>
      <c r="Q216" s="233" cm="1">
        <f t="array" ref="Q216">SUMPRODUCT((H_tblBGTage=I216)*(H_tblBGMnt=E216)*H_tblBG%)</f>
        <v>1</v>
      </c>
      <c r="R216" s="231">
        <f t="shared" si="62"/>
        <v>8</v>
      </c>
      <c r="S216" s="237"/>
      <c r="T216" s="237"/>
      <c r="U216" s="236" cm="1">
        <f t="array" ref="U216">SUMPRODUCT((JUL!M_Verweiszeile=$H216)*JUL!M_ProdTag*(JUL!M_Monat=$E216))</f>
        <v>0</v>
      </c>
      <c r="V216" s="236" cm="1">
        <f t="array" ref="V216">SUMPRODUCT((JUL!M_Verweiszeile=$H216)*JUL!M_ProdN1*(JUL!M_Monat=$E216))</f>
        <v>0</v>
      </c>
      <c r="W216" s="236" cm="1">
        <f t="array" ref="W216">SUMPRODUCT((JUL!M_Verweiszeile=$H216)*JUL!M_ProdN2*(JUL!M_Monat=$E216))</f>
        <v>0</v>
      </c>
      <c r="X216" s="236">
        <f t="shared" si="63"/>
        <v>0</v>
      </c>
      <c r="Y216" s="236">
        <f t="shared" si="53"/>
        <v>0</v>
      </c>
      <c r="Z216" s="236">
        <f t="shared" si="54"/>
        <v>0</v>
      </c>
      <c r="AA216" s="236">
        <f t="shared" si="64"/>
        <v>0</v>
      </c>
      <c r="AB216" s="236">
        <f t="shared" si="65"/>
        <v>0</v>
      </c>
      <c r="AC216" s="236">
        <f t="shared" si="66"/>
        <v>0</v>
      </c>
    </row>
    <row r="217" spans="3:29" s="189" customFormat="1" x14ac:dyDescent="0.2">
      <c r="C217" s="129">
        <v>208</v>
      </c>
      <c r="D217" s="190">
        <f t="shared" si="67"/>
        <v>45499</v>
      </c>
      <c r="E217" s="129">
        <f t="shared" si="55"/>
        <v>7</v>
      </c>
      <c r="F217" s="191">
        <f t="shared" si="56"/>
        <v>45499</v>
      </c>
      <c r="G217" s="129">
        <f t="shared" si="57"/>
        <v>30</v>
      </c>
      <c r="H217" s="129">
        <f t="shared" si="58"/>
        <v>26</v>
      </c>
      <c r="I217" s="129">
        <f t="shared" si="59"/>
        <v>5</v>
      </c>
      <c r="J217" s="192">
        <f t="shared" si="60"/>
        <v>45499</v>
      </c>
      <c r="K217" s="129" t="str" cm="1">
        <f t="array" ref="K217">IF(AND(I217&lt;7,INDEX(B_tblFTMatrix,$E217,$H217)="x"),"ft","")</f>
        <v/>
      </c>
      <c r="L217" s="129"/>
      <c r="M217" s="129"/>
      <c r="N217" s="129">
        <f t="shared" si="51"/>
        <v>1</v>
      </c>
      <c r="O217" s="129">
        <f t="shared" si="61"/>
        <v>1</v>
      </c>
      <c r="P217" s="231">
        <f t="shared" si="52"/>
        <v>8</v>
      </c>
      <c r="Q217" s="233" cm="1">
        <f t="array" ref="Q217">SUMPRODUCT((H_tblBGTage=I217)*(H_tblBGMnt=E217)*H_tblBG%)</f>
        <v>1</v>
      </c>
      <c r="R217" s="231">
        <f t="shared" si="62"/>
        <v>8</v>
      </c>
      <c r="S217" s="237"/>
      <c r="T217" s="237"/>
      <c r="U217" s="236" cm="1">
        <f t="array" ref="U217">SUMPRODUCT((JUL!M_Verweiszeile=$H217)*JUL!M_ProdTag*(JUL!M_Monat=$E217))</f>
        <v>0</v>
      </c>
      <c r="V217" s="236" cm="1">
        <f t="array" ref="V217">SUMPRODUCT((JUL!M_Verweiszeile=$H217)*JUL!M_ProdN1*(JUL!M_Monat=$E217))</f>
        <v>0</v>
      </c>
      <c r="W217" s="236" cm="1">
        <f t="array" ref="W217">SUMPRODUCT((JUL!M_Verweiszeile=$H217)*JUL!M_ProdN2*(JUL!M_Monat=$E217))</f>
        <v>0</v>
      </c>
      <c r="X217" s="236">
        <f t="shared" si="63"/>
        <v>0</v>
      </c>
      <c r="Y217" s="236">
        <f t="shared" si="53"/>
        <v>0</v>
      </c>
      <c r="Z217" s="236">
        <f t="shared" si="54"/>
        <v>0</v>
      </c>
      <c r="AA217" s="236">
        <f t="shared" si="64"/>
        <v>0</v>
      </c>
      <c r="AB217" s="236">
        <f t="shared" si="65"/>
        <v>0</v>
      </c>
      <c r="AC217" s="236">
        <f t="shared" si="66"/>
        <v>0</v>
      </c>
    </row>
    <row r="218" spans="3:29" s="189" customFormat="1" x14ac:dyDescent="0.2">
      <c r="C218" s="129">
        <v>209</v>
      </c>
      <c r="D218" s="190">
        <f t="shared" si="67"/>
        <v>45500</v>
      </c>
      <c r="E218" s="129">
        <f t="shared" si="55"/>
        <v>7</v>
      </c>
      <c r="F218" s="191">
        <f t="shared" si="56"/>
        <v>45500</v>
      </c>
      <c r="G218" s="129">
        <f t="shared" si="57"/>
        <v>30</v>
      </c>
      <c r="H218" s="129">
        <f t="shared" si="58"/>
        <v>27</v>
      </c>
      <c r="I218" s="129">
        <f t="shared" si="59"/>
        <v>6</v>
      </c>
      <c r="J218" s="192">
        <f t="shared" si="60"/>
        <v>45500</v>
      </c>
      <c r="K218" s="129" t="str" cm="1">
        <f t="array" ref="K218">IF(AND(I218&lt;7,INDEX(B_tblFTMatrix,$E218,$H218)="x"),"ft","")</f>
        <v/>
      </c>
      <c r="L218" s="129"/>
      <c r="M218" s="129"/>
      <c r="N218" s="129">
        <f t="shared" si="51"/>
        <v>0</v>
      </c>
      <c r="O218" s="129">
        <f t="shared" si="61"/>
        <v>0</v>
      </c>
      <c r="P218" s="231">
        <f t="shared" si="52"/>
        <v>0</v>
      </c>
      <c r="Q218" s="233" cm="1">
        <f t="array" ref="Q218">SUMPRODUCT((H_tblBGTage=I218)*(H_tblBGMnt=E218)*H_tblBG%)</f>
        <v>0</v>
      </c>
      <c r="R218" s="231">
        <f t="shared" si="62"/>
        <v>0</v>
      </c>
      <c r="S218" s="237"/>
      <c r="T218" s="237"/>
      <c r="U218" s="236" cm="1">
        <f t="array" ref="U218">SUMPRODUCT((JUL!M_Verweiszeile=$H218)*JUL!M_ProdTag*(JUL!M_Monat=$E218))</f>
        <v>0</v>
      </c>
      <c r="V218" s="236" cm="1">
        <f t="array" ref="V218">SUMPRODUCT((JUL!M_Verweiszeile=$H218)*JUL!M_ProdN1*(JUL!M_Monat=$E218))</f>
        <v>0</v>
      </c>
      <c r="W218" s="236" cm="1">
        <f t="array" ref="W218">SUMPRODUCT((JUL!M_Verweiszeile=$H218)*JUL!M_ProdN2*(JUL!M_Monat=$E218))</f>
        <v>0</v>
      </c>
      <c r="X218" s="236">
        <f t="shared" si="63"/>
        <v>0</v>
      </c>
      <c r="Y218" s="236">
        <f t="shared" si="53"/>
        <v>0</v>
      </c>
      <c r="Z218" s="236">
        <f t="shared" si="54"/>
        <v>0</v>
      </c>
      <c r="AA218" s="236">
        <f t="shared" si="64"/>
        <v>0</v>
      </c>
      <c r="AB218" s="236">
        <f t="shared" si="65"/>
        <v>0</v>
      </c>
      <c r="AC218" s="236">
        <f t="shared" si="66"/>
        <v>0</v>
      </c>
    </row>
    <row r="219" spans="3:29" s="189" customFormat="1" x14ac:dyDescent="0.2">
      <c r="C219" s="129">
        <v>210</v>
      </c>
      <c r="D219" s="190">
        <f t="shared" si="67"/>
        <v>45501</v>
      </c>
      <c r="E219" s="129">
        <f t="shared" si="55"/>
        <v>7</v>
      </c>
      <c r="F219" s="191">
        <f t="shared" si="56"/>
        <v>45501</v>
      </c>
      <c r="G219" s="129">
        <f t="shared" si="57"/>
        <v>30</v>
      </c>
      <c r="H219" s="129">
        <f t="shared" si="58"/>
        <v>28</v>
      </c>
      <c r="I219" s="129">
        <f t="shared" si="59"/>
        <v>7</v>
      </c>
      <c r="J219" s="192">
        <f t="shared" si="60"/>
        <v>45501</v>
      </c>
      <c r="K219" s="129" t="str" cm="1">
        <f t="array" ref="K219">IF(AND(I219&lt;7,INDEX(B_tblFTMatrix,$E219,$H219)="x"),"ft","")</f>
        <v/>
      </c>
      <c r="L219" s="129"/>
      <c r="M219" s="129"/>
      <c r="N219" s="129">
        <f t="shared" si="51"/>
        <v>0</v>
      </c>
      <c r="O219" s="129">
        <f t="shared" si="61"/>
        <v>0</v>
      </c>
      <c r="P219" s="231">
        <f t="shared" si="52"/>
        <v>0</v>
      </c>
      <c r="Q219" s="233" cm="1">
        <f t="array" ref="Q219">SUMPRODUCT((H_tblBGTage=I219)*(H_tblBGMnt=E219)*H_tblBG%)</f>
        <v>0</v>
      </c>
      <c r="R219" s="231">
        <f t="shared" si="62"/>
        <v>0</v>
      </c>
      <c r="S219" s="237"/>
      <c r="T219" s="237"/>
      <c r="U219" s="236" cm="1">
        <f t="array" ref="U219">SUMPRODUCT((JUL!M_Verweiszeile=$H219)*JUL!M_ProdTag*(JUL!M_Monat=$E219))</f>
        <v>0</v>
      </c>
      <c r="V219" s="236" cm="1">
        <f t="array" ref="V219">SUMPRODUCT((JUL!M_Verweiszeile=$H219)*JUL!M_ProdN1*(JUL!M_Monat=$E219))</f>
        <v>0</v>
      </c>
      <c r="W219" s="236" cm="1">
        <f t="array" ref="W219">SUMPRODUCT((JUL!M_Verweiszeile=$H219)*JUL!M_ProdN2*(JUL!M_Monat=$E219))</f>
        <v>0</v>
      </c>
      <c r="X219" s="236">
        <f t="shared" si="63"/>
        <v>0</v>
      </c>
      <c r="Y219" s="236">
        <f t="shared" si="53"/>
        <v>0</v>
      </c>
      <c r="Z219" s="236">
        <f t="shared" si="54"/>
        <v>0</v>
      </c>
      <c r="AA219" s="236">
        <f t="shared" si="64"/>
        <v>0</v>
      </c>
      <c r="AB219" s="236">
        <f t="shared" si="65"/>
        <v>0</v>
      </c>
      <c r="AC219" s="236">
        <f t="shared" si="66"/>
        <v>0</v>
      </c>
    </row>
    <row r="220" spans="3:29" s="189" customFormat="1" x14ac:dyDescent="0.2">
      <c r="C220" s="129">
        <v>211</v>
      </c>
      <c r="D220" s="190">
        <f t="shared" si="67"/>
        <v>45502</v>
      </c>
      <c r="E220" s="129">
        <f t="shared" si="55"/>
        <v>7</v>
      </c>
      <c r="F220" s="191">
        <f t="shared" si="56"/>
        <v>45502</v>
      </c>
      <c r="G220" s="129">
        <f t="shared" si="57"/>
        <v>31</v>
      </c>
      <c r="H220" s="129">
        <f t="shared" si="58"/>
        <v>29</v>
      </c>
      <c r="I220" s="129">
        <f t="shared" si="59"/>
        <v>1</v>
      </c>
      <c r="J220" s="192">
        <f t="shared" si="60"/>
        <v>45502</v>
      </c>
      <c r="K220" s="129" t="str" cm="1">
        <f t="array" ref="K220">IF(AND(I220&lt;7,INDEX(B_tblFTMatrix,$E220,$H220)="x"),"ft","")</f>
        <v/>
      </c>
      <c r="L220" s="129"/>
      <c r="M220" s="129"/>
      <c r="N220" s="129">
        <f t="shared" si="51"/>
        <v>1</v>
      </c>
      <c r="O220" s="129">
        <f t="shared" si="61"/>
        <v>1</v>
      </c>
      <c r="P220" s="231">
        <f t="shared" si="52"/>
        <v>8</v>
      </c>
      <c r="Q220" s="233" cm="1">
        <f t="array" ref="Q220">SUMPRODUCT((H_tblBGTage=I220)*(H_tblBGMnt=E220)*H_tblBG%)</f>
        <v>1</v>
      </c>
      <c r="R220" s="231">
        <f t="shared" si="62"/>
        <v>8</v>
      </c>
      <c r="S220" s="237"/>
      <c r="T220" s="237"/>
      <c r="U220" s="236" cm="1">
        <f t="array" ref="U220">SUMPRODUCT((JUL!M_Verweiszeile=$H220)*JUL!M_ProdTag*(JUL!M_Monat=$E220))</f>
        <v>0</v>
      </c>
      <c r="V220" s="236" cm="1">
        <f t="array" ref="V220">SUMPRODUCT((JUL!M_Verweiszeile=$H220)*JUL!M_ProdN1*(JUL!M_Monat=$E220))</f>
        <v>0</v>
      </c>
      <c r="W220" s="236" cm="1">
        <f t="array" ref="W220">SUMPRODUCT((JUL!M_Verweiszeile=$H220)*JUL!M_ProdN2*(JUL!M_Monat=$E220))</f>
        <v>0</v>
      </c>
      <c r="X220" s="236">
        <f t="shared" si="63"/>
        <v>0</v>
      </c>
      <c r="Y220" s="236">
        <f t="shared" si="53"/>
        <v>0</v>
      </c>
      <c r="Z220" s="236">
        <f t="shared" si="54"/>
        <v>0</v>
      </c>
      <c r="AA220" s="236">
        <f t="shared" si="64"/>
        <v>0</v>
      </c>
      <c r="AB220" s="236">
        <f t="shared" si="65"/>
        <v>0</v>
      </c>
      <c r="AC220" s="236">
        <f t="shared" si="66"/>
        <v>0</v>
      </c>
    </row>
    <row r="221" spans="3:29" s="189" customFormat="1" x14ac:dyDescent="0.2">
      <c r="C221" s="129">
        <v>212</v>
      </c>
      <c r="D221" s="190">
        <f t="shared" si="67"/>
        <v>45503</v>
      </c>
      <c r="E221" s="129">
        <f t="shared" si="55"/>
        <v>7</v>
      </c>
      <c r="F221" s="191">
        <f t="shared" si="56"/>
        <v>45503</v>
      </c>
      <c r="G221" s="129">
        <f t="shared" si="57"/>
        <v>31</v>
      </c>
      <c r="H221" s="129">
        <f t="shared" si="58"/>
        <v>30</v>
      </c>
      <c r="I221" s="129">
        <f t="shared" si="59"/>
        <v>2</v>
      </c>
      <c r="J221" s="192">
        <f t="shared" si="60"/>
        <v>45503</v>
      </c>
      <c r="K221" s="129" t="str" cm="1">
        <f t="array" ref="K221">IF(AND(I221&lt;7,INDEX(B_tblFTMatrix,$E221,$H221)="x"),"ft","")</f>
        <v/>
      </c>
      <c r="L221" s="129"/>
      <c r="M221" s="129"/>
      <c r="N221" s="129">
        <f t="shared" si="51"/>
        <v>1</v>
      </c>
      <c r="O221" s="129">
        <f t="shared" si="61"/>
        <v>1</v>
      </c>
      <c r="P221" s="231">
        <f t="shared" si="52"/>
        <v>8</v>
      </c>
      <c r="Q221" s="233" cm="1">
        <f t="array" ref="Q221">SUMPRODUCT((H_tblBGTage=I221)*(H_tblBGMnt=E221)*H_tblBG%)</f>
        <v>1</v>
      </c>
      <c r="R221" s="231">
        <f t="shared" si="62"/>
        <v>8</v>
      </c>
      <c r="S221" s="237"/>
      <c r="T221" s="237"/>
      <c r="U221" s="236" cm="1">
        <f t="array" ref="U221">SUMPRODUCT((JUL!M_Verweiszeile=$H221)*JUL!M_ProdTag*(JUL!M_Monat=$E221))</f>
        <v>0</v>
      </c>
      <c r="V221" s="236" cm="1">
        <f t="array" ref="V221">SUMPRODUCT((JUL!M_Verweiszeile=$H221)*JUL!M_ProdN1*(JUL!M_Monat=$E221))</f>
        <v>0</v>
      </c>
      <c r="W221" s="236" cm="1">
        <f t="array" ref="W221">SUMPRODUCT((JUL!M_Verweiszeile=$H221)*JUL!M_ProdN2*(JUL!M_Monat=$E221))</f>
        <v>0</v>
      </c>
      <c r="X221" s="236">
        <f t="shared" si="63"/>
        <v>0</v>
      </c>
      <c r="Y221" s="236">
        <f t="shared" si="53"/>
        <v>0</v>
      </c>
      <c r="Z221" s="236">
        <f t="shared" si="54"/>
        <v>0</v>
      </c>
      <c r="AA221" s="236">
        <f t="shared" si="64"/>
        <v>0</v>
      </c>
      <c r="AB221" s="236">
        <f t="shared" si="65"/>
        <v>0</v>
      </c>
      <c r="AC221" s="236">
        <f t="shared" si="66"/>
        <v>0</v>
      </c>
    </row>
    <row r="222" spans="3:29" s="189" customFormat="1" x14ac:dyDescent="0.2">
      <c r="C222" s="129">
        <v>213</v>
      </c>
      <c r="D222" s="190">
        <f t="shared" si="67"/>
        <v>45504</v>
      </c>
      <c r="E222" s="129">
        <f t="shared" si="55"/>
        <v>7</v>
      </c>
      <c r="F222" s="191">
        <f t="shared" si="56"/>
        <v>45504</v>
      </c>
      <c r="G222" s="129">
        <f t="shared" si="57"/>
        <v>31</v>
      </c>
      <c r="H222" s="129">
        <f t="shared" si="58"/>
        <v>31</v>
      </c>
      <c r="I222" s="129">
        <f t="shared" si="59"/>
        <v>3</v>
      </c>
      <c r="J222" s="192">
        <f t="shared" si="60"/>
        <v>45504</v>
      </c>
      <c r="K222" s="129" t="str" cm="1">
        <f t="array" ref="K222">IF(AND(I222&lt;7,INDEX(B_tblFTMatrix,$E222,$H222)="x"),"ft","")</f>
        <v/>
      </c>
      <c r="L222" s="129"/>
      <c r="M222" s="129"/>
      <c r="N222" s="129">
        <f t="shared" si="51"/>
        <v>1</v>
      </c>
      <c r="O222" s="129">
        <f t="shared" si="61"/>
        <v>1</v>
      </c>
      <c r="P222" s="231">
        <f t="shared" si="52"/>
        <v>8</v>
      </c>
      <c r="Q222" s="233" cm="1">
        <f t="array" ref="Q222">SUMPRODUCT((H_tblBGTage=I222)*(H_tblBGMnt=E222)*H_tblBG%)</f>
        <v>1</v>
      </c>
      <c r="R222" s="231">
        <f t="shared" si="62"/>
        <v>8</v>
      </c>
      <c r="S222" s="237"/>
      <c r="T222" s="237"/>
      <c r="U222" s="319" cm="1">
        <f t="array" ref="U222">SUMPRODUCT((JUL!M_Verweiszeile=$H222)*JUL!M_ProdTag*(JUL!M_Monat=$E222))+SUMPRODUCT((AUG!M_Verweiszeile=$H222)*AUG!M_ProdTag*(AUG!M_Monat=$E222))</f>
        <v>0</v>
      </c>
      <c r="V222" s="236" cm="1">
        <f t="array" ref="V222">SUMPRODUCT((JUL!M_Verweiszeile=$H222)*JUL!M_ProdN1*(JUL!M_Monat=$E222))+SUMPRODUCT((AUG!M_Verweiszeile=$H222)*AUG!M_ProdN1*(AUG!M_Monat=$E222))</f>
        <v>0</v>
      </c>
      <c r="W222" s="236" cm="1">
        <f t="array" ref="W222">SUMPRODUCT((JUL!M_Verweiszeile=$H222)*JUL!M_ProdN2*(JUL!M_Monat=$E222))+SUMPRODUCT((AUG!M_Verweiszeile=$H222)*AUG!M_ProdN2*(AUG!M_Monat=$E222))</f>
        <v>0</v>
      </c>
      <c r="X222" s="236">
        <f t="shared" si="63"/>
        <v>0</v>
      </c>
      <c r="Y222" s="236">
        <f t="shared" si="53"/>
        <v>0</v>
      </c>
      <c r="Z222" s="236">
        <f t="shared" si="54"/>
        <v>0</v>
      </c>
      <c r="AA222" s="236">
        <f t="shared" si="64"/>
        <v>0</v>
      </c>
      <c r="AB222" s="236">
        <f t="shared" si="65"/>
        <v>0</v>
      </c>
      <c r="AC222" s="236">
        <f t="shared" si="66"/>
        <v>0</v>
      </c>
    </row>
    <row r="223" spans="3:29" s="189" customFormat="1" x14ac:dyDescent="0.2">
      <c r="C223" s="129">
        <v>214</v>
      </c>
      <c r="D223" s="190">
        <f t="shared" si="67"/>
        <v>45505</v>
      </c>
      <c r="E223" s="129">
        <f t="shared" si="55"/>
        <v>8</v>
      </c>
      <c r="F223" s="191">
        <f t="shared" si="56"/>
        <v>45505</v>
      </c>
      <c r="G223" s="129">
        <f t="shared" si="57"/>
        <v>31</v>
      </c>
      <c r="H223" s="129">
        <f t="shared" si="58"/>
        <v>1</v>
      </c>
      <c r="I223" s="129">
        <f t="shared" si="59"/>
        <v>4</v>
      </c>
      <c r="J223" s="192">
        <f t="shared" si="60"/>
        <v>45505</v>
      </c>
      <c r="K223" s="129" t="str" cm="1">
        <f t="array" ref="K223">IF(AND(I223&lt;7,INDEX(B_tblFTMatrix,$E223,$H223)="x"),"ft","")</f>
        <v/>
      </c>
      <c r="L223" s="129"/>
      <c r="M223" s="129"/>
      <c r="N223" s="129">
        <f t="shared" si="51"/>
        <v>1</v>
      </c>
      <c r="O223" s="129">
        <f t="shared" si="61"/>
        <v>1</v>
      </c>
      <c r="P223" s="231">
        <f t="shared" si="52"/>
        <v>8</v>
      </c>
      <c r="Q223" s="233" cm="1">
        <f t="array" ref="Q223">SUMPRODUCT((H_tblBGTage=I223)*(H_tblBGMnt=E223)*H_tblBG%)</f>
        <v>1</v>
      </c>
      <c r="R223" s="231">
        <f t="shared" si="62"/>
        <v>8</v>
      </c>
      <c r="S223" s="237"/>
      <c r="T223" s="237"/>
      <c r="U223" s="319" cm="1">
        <f t="array" ref="U223">SUMPRODUCT((AUG!M_Verweiszeile=$H223)*AUG!M_ProdTag*(AUG!M_Monat=$E223))</f>
        <v>0</v>
      </c>
      <c r="V223" s="236" cm="1">
        <f t="array" ref="V223">SUMPRODUCT((AUG!M_Verweiszeile=$H223)*AUG!M_ProdN1*(AUG!M_Monat=$E223))</f>
        <v>0</v>
      </c>
      <c r="W223" s="236" cm="1">
        <f t="array" ref="W223">SUMPRODUCT((AUG!M_Verweiszeile=$H223)*AUG!M_ProdN2*(AUG!M_Monat=$E223))</f>
        <v>0</v>
      </c>
      <c r="X223" s="236">
        <f t="shared" si="63"/>
        <v>0</v>
      </c>
      <c r="Y223" s="236">
        <f t="shared" si="53"/>
        <v>0</v>
      </c>
      <c r="Z223" s="236">
        <f t="shared" si="54"/>
        <v>0</v>
      </c>
      <c r="AA223" s="236">
        <f t="shared" si="64"/>
        <v>0</v>
      </c>
      <c r="AB223" s="236">
        <f t="shared" si="65"/>
        <v>0</v>
      </c>
      <c r="AC223" s="236">
        <f t="shared" si="66"/>
        <v>0</v>
      </c>
    </row>
    <row r="224" spans="3:29" s="189" customFormat="1" x14ac:dyDescent="0.2">
      <c r="C224" s="129">
        <v>215</v>
      </c>
      <c r="D224" s="190">
        <f t="shared" si="67"/>
        <v>45506</v>
      </c>
      <c r="E224" s="129">
        <f t="shared" si="55"/>
        <v>8</v>
      </c>
      <c r="F224" s="191">
        <f t="shared" si="56"/>
        <v>45506</v>
      </c>
      <c r="G224" s="129">
        <f t="shared" si="57"/>
        <v>31</v>
      </c>
      <c r="H224" s="129">
        <f t="shared" si="58"/>
        <v>2</v>
      </c>
      <c r="I224" s="129">
        <f t="shared" si="59"/>
        <v>5</v>
      </c>
      <c r="J224" s="192">
        <f t="shared" si="60"/>
        <v>45506</v>
      </c>
      <c r="K224" s="129" t="str" cm="1">
        <f t="array" ref="K224">IF(AND(I224&lt;7,INDEX(B_tblFTMatrix,$E224,$H224)="x"),"ft","")</f>
        <v/>
      </c>
      <c r="L224" s="129"/>
      <c r="M224" s="129"/>
      <c r="N224" s="129">
        <f t="shared" si="51"/>
        <v>1</v>
      </c>
      <c r="O224" s="129">
        <f t="shared" si="61"/>
        <v>1</v>
      </c>
      <c r="P224" s="231">
        <f t="shared" si="52"/>
        <v>8</v>
      </c>
      <c r="Q224" s="233" cm="1">
        <f t="array" ref="Q224">SUMPRODUCT((H_tblBGTage=I224)*(H_tblBGMnt=E224)*H_tblBG%)</f>
        <v>1</v>
      </c>
      <c r="R224" s="231">
        <f t="shared" si="62"/>
        <v>8</v>
      </c>
      <c r="S224" s="237"/>
      <c r="T224" s="237"/>
      <c r="U224" s="236" cm="1">
        <f t="array" ref="U224">SUMPRODUCT((AUG!M_Verweiszeile=$H224)*AUG!M_ProdTag*(AUG!M_Monat=$E224))</f>
        <v>0</v>
      </c>
      <c r="V224" s="236" cm="1">
        <f t="array" ref="V224">SUMPRODUCT((AUG!M_Verweiszeile=$H224)*AUG!M_ProdN1*(AUG!M_Monat=$E224))</f>
        <v>0</v>
      </c>
      <c r="W224" s="236" cm="1">
        <f t="array" ref="W224">SUMPRODUCT((AUG!M_Verweiszeile=$H224)*AUG!M_ProdN2*(AUG!M_Monat=$E224))</f>
        <v>0</v>
      </c>
      <c r="X224" s="236">
        <f t="shared" si="63"/>
        <v>0</v>
      </c>
      <c r="Y224" s="236">
        <f t="shared" si="53"/>
        <v>0</v>
      </c>
      <c r="Z224" s="236">
        <f t="shared" si="54"/>
        <v>0</v>
      </c>
      <c r="AA224" s="236">
        <f t="shared" si="64"/>
        <v>0</v>
      </c>
      <c r="AB224" s="236">
        <f t="shared" si="65"/>
        <v>0</v>
      </c>
      <c r="AC224" s="236">
        <f t="shared" si="66"/>
        <v>0</v>
      </c>
    </row>
    <row r="225" spans="3:29" s="189" customFormat="1" x14ac:dyDescent="0.2">
      <c r="C225" s="129">
        <v>216</v>
      </c>
      <c r="D225" s="190">
        <f t="shared" si="67"/>
        <v>45507</v>
      </c>
      <c r="E225" s="129">
        <f t="shared" si="55"/>
        <v>8</v>
      </c>
      <c r="F225" s="191">
        <f t="shared" si="56"/>
        <v>45507</v>
      </c>
      <c r="G225" s="129">
        <f t="shared" si="57"/>
        <v>31</v>
      </c>
      <c r="H225" s="129">
        <f t="shared" si="58"/>
        <v>3</v>
      </c>
      <c r="I225" s="129">
        <f t="shared" si="59"/>
        <v>6</v>
      </c>
      <c r="J225" s="192">
        <f t="shared" si="60"/>
        <v>45507</v>
      </c>
      <c r="K225" s="129" t="str" cm="1">
        <f t="array" ref="K225">IF(AND(I225&lt;7,INDEX(B_tblFTMatrix,$E225,$H225)="x"),"ft","")</f>
        <v/>
      </c>
      <c r="L225" s="129"/>
      <c r="M225" s="129"/>
      <c r="N225" s="129">
        <f t="shared" si="51"/>
        <v>0</v>
      </c>
      <c r="O225" s="129">
        <f t="shared" si="61"/>
        <v>0</v>
      </c>
      <c r="P225" s="231">
        <f t="shared" si="52"/>
        <v>0</v>
      </c>
      <c r="Q225" s="233" cm="1">
        <f t="array" ref="Q225">SUMPRODUCT((H_tblBGTage=I225)*(H_tblBGMnt=E225)*H_tblBG%)</f>
        <v>0</v>
      </c>
      <c r="R225" s="231">
        <f t="shared" si="62"/>
        <v>0</v>
      </c>
      <c r="S225" s="237"/>
      <c r="T225" s="237"/>
      <c r="U225" s="236" cm="1">
        <f t="array" ref="U225">SUMPRODUCT((AUG!M_Verweiszeile=$H225)*AUG!M_ProdTag*(AUG!M_Monat=$E225))</f>
        <v>0</v>
      </c>
      <c r="V225" s="236" cm="1">
        <f t="array" ref="V225">SUMPRODUCT((AUG!M_Verweiszeile=$H225)*AUG!M_ProdN1*(AUG!M_Monat=$E225))</f>
        <v>0</v>
      </c>
      <c r="W225" s="236" cm="1">
        <f t="array" ref="W225">SUMPRODUCT((AUG!M_Verweiszeile=$H225)*AUG!M_ProdN2*(AUG!M_Monat=$E225))</f>
        <v>0</v>
      </c>
      <c r="X225" s="236">
        <f t="shared" si="63"/>
        <v>0</v>
      </c>
      <c r="Y225" s="236">
        <f t="shared" si="53"/>
        <v>0</v>
      </c>
      <c r="Z225" s="236">
        <f t="shared" si="54"/>
        <v>0</v>
      </c>
      <c r="AA225" s="236">
        <f t="shared" si="64"/>
        <v>0</v>
      </c>
      <c r="AB225" s="236">
        <f t="shared" si="65"/>
        <v>0</v>
      </c>
      <c r="AC225" s="236">
        <f t="shared" si="66"/>
        <v>0</v>
      </c>
    </row>
    <row r="226" spans="3:29" s="189" customFormat="1" x14ac:dyDescent="0.2">
      <c r="C226" s="129">
        <v>217</v>
      </c>
      <c r="D226" s="190">
        <f t="shared" si="67"/>
        <v>45508</v>
      </c>
      <c r="E226" s="129">
        <f t="shared" si="55"/>
        <v>8</v>
      </c>
      <c r="F226" s="191">
        <f t="shared" si="56"/>
        <v>45508</v>
      </c>
      <c r="G226" s="129">
        <f t="shared" si="57"/>
        <v>31</v>
      </c>
      <c r="H226" s="129">
        <f t="shared" si="58"/>
        <v>4</v>
      </c>
      <c r="I226" s="129">
        <f t="shared" si="59"/>
        <v>7</v>
      </c>
      <c r="J226" s="192">
        <f t="shared" si="60"/>
        <v>45508</v>
      </c>
      <c r="K226" s="129" t="str" cm="1">
        <f t="array" ref="K226">IF(AND(I226&lt;7,INDEX(B_tblFTMatrix,$E226,$H226)="x"),"ft","")</f>
        <v/>
      </c>
      <c r="L226" s="129"/>
      <c r="M226" s="129"/>
      <c r="N226" s="129">
        <f t="shared" si="51"/>
        <v>0</v>
      </c>
      <c r="O226" s="129">
        <f t="shared" si="61"/>
        <v>0</v>
      </c>
      <c r="P226" s="231">
        <f t="shared" si="52"/>
        <v>0</v>
      </c>
      <c r="Q226" s="233" cm="1">
        <f t="array" ref="Q226">SUMPRODUCT((H_tblBGTage=I226)*(H_tblBGMnt=E226)*H_tblBG%)</f>
        <v>0</v>
      </c>
      <c r="R226" s="231">
        <f t="shared" si="62"/>
        <v>0</v>
      </c>
      <c r="S226" s="237"/>
      <c r="T226" s="237"/>
      <c r="U226" s="236" cm="1">
        <f t="array" ref="U226">SUMPRODUCT((AUG!M_Verweiszeile=$H226)*AUG!M_ProdTag*(AUG!M_Monat=$E226))</f>
        <v>0</v>
      </c>
      <c r="V226" s="236" cm="1">
        <f t="array" ref="V226">SUMPRODUCT((AUG!M_Verweiszeile=$H226)*AUG!M_ProdN1*(AUG!M_Monat=$E226))</f>
        <v>0</v>
      </c>
      <c r="W226" s="236" cm="1">
        <f t="array" ref="W226">SUMPRODUCT((AUG!M_Verweiszeile=$H226)*AUG!M_ProdN2*(AUG!M_Monat=$E226))</f>
        <v>0</v>
      </c>
      <c r="X226" s="236">
        <f t="shared" si="63"/>
        <v>0</v>
      </c>
      <c r="Y226" s="236">
        <f t="shared" si="53"/>
        <v>0</v>
      </c>
      <c r="Z226" s="236">
        <f t="shared" si="54"/>
        <v>0</v>
      </c>
      <c r="AA226" s="236">
        <f t="shared" si="64"/>
        <v>0</v>
      </c>
      <c r="AB226" s="236">
        <f t="shared" si="65"/>
        <v>0</v>
      </c>
      <c r="AC226" s="236">
        <f t="shared" si="66"/>
        <v>0</v>
      </c>
    </row>
    <row r="227" spans="3:29" s="189" customFormat="1" x14ac:dyDescent="0.2">
      <c r="C227" s="129">
        <v>218</v>
      </c>
      <c r="D227" s="190">
        <f t="shared" si="67"/>
        <v>45509</v>
      </c>
      <c r="E227" s="129">
        <f t="shared" si="55"/>
        <v>8</v>
      </c>
      <c r="F227" s="191">
        <f t="shared" si="56"/>
        <v>45509</v>
      </c>
      <c r="G227" s="129">
        <f t="shared" si="57"/>
        <v>32</v>
      </c>
      <c r="H227" s="129">
        <f t="shared" si="58"/>
        <v>5</v>
      </c>
      <c r="I227" s="129">
        <f t="shared" si="59"/>
        <v>1</v>
      </c>
      <c r="J227" s="192">
        <f t="shared" si="60"/>
        <v>45509</v>
      </c>
      <c r="K227" s="129" t="str" cm="1">
        <f t="array" ref="K227">IF(AND(I227&lt;7,INDEX(B_tblFTMatrix,$E227,$H227)="x"),"ft","")</f>
        <v/>
      </c>
      <c r="L227" s="129"/>
      <c r="M227" s="129"/>
      <c r="N227" s="129">
        <f t="shared" si="51"/>
        <v>1</v>
      </c>
      <c r="O227" s="129">
        <f t="shared" si="61"/>
        <v>1</v>
      </c>
      <c r="P227" s="231">
        <f t="shared" si="52"/>
        <v>8</v>
      </c>
      <c r="Q227" s="233" cm="1">
        <f t="array" ref="Q227">SUMPRODUCT((H_tblBGTage=I227)*(H_tblBGMnt=E227)*H_tblBG%)</f>
        <v>1</v>
      </c>
      <c r="R227" s="231">
        <f t="shared" si="62"/>
        <v>8</v>
      </c>
      <c r="S227" s="237"/>
      <c r="T227" s="237"/>
      <c r="U227" s="236" cm="1">
        <f t="array" ref="U227">SUMPRODUCT((AUG!M_Verweiszeile=$H227)*AUG!M_ProdTag*(AUG!M_Monat=$E227))</f>
        <v>0</v>
      </c>
      <c r="V227" s="236" cm="1">
        <f t="array" ref="V227">SUMPRODUCT((AUG!M_Verweiszeile=$H227)*AUG!M_ProdN1*(AUG!M_Monat=$E227))</f>
        <v>0</v>
      </c>
      <c r="W227" s="236" cm="1">
        <f t="array" ref="W227">SUMPRODUCT((AUG!M_Verweiszeile=$H227)*AUG!M_ProdN2*(AUG!M_Monat=$E227))</f>
        <v>0</v>
      </c>
      <c r="X227" s="236">
        <f t="shared" si="63"/>
        <v>0</v>
      </c>
      <c r="Y227" s="236">
        <f t="shared" si="53"/>
        <v>0</v>
      </c>
      <c r="Z227" s="236">
        <f t="shared" si="54"/>
        <v>0</v>
      </c>
      <c r="AA227" s="236">
        <f t="shared" si="64"/>
        <v>0</v>
      </c>
      <c r="AB227" s="236">
        <f t="shared" si="65"/>
        <v>0</v>
      </c>
      <c r="AC227" s="236">
        <f t="shared" si="66"/>
        <v>0</v>
      </c>
    </row>
    <row r="228" spans="3:29" s="189" customFormat="1" x14ac:dyDescent="0.2">
      <c r="C228" s="129">
        <v>219</v>
      </c>
      <c r="D228" s="190">
        <f t="shared" si="67"/>
        <v>45510</v>
      </c>
      <c r="E228" s="129">
        <f t="shared" si="55"/>
        <v>8</v>
      </c>
      <c r="F228" s="191">
        <f t="shared" si="56"/>
        <v>45510</v>
      </c>
      <c r="G228" s="129">
        <f t="shared" si="57"/>
        <v>32</v>
      </c>
      <c r="H228" s="129">
        <f t="shared" si="58"/>
        <v>6</v>
      </c>
      <c r="I228" s="129">
        <f t="shared" si="59"/>
        <v>2</v>
      </c>
      <c r="J228" s="192">
        <f t="shared" si="60"/>
        <v>45510</v>
      </c>
      <c r="K228" s="129" t="str" cm="1">
        <f t="array" ref="K228">IF(AND(I228&lt;7,INDEX(B_tblFTMatrix,$E228,$H228)="x"),"ft","")</f>
        <v/>
      </c>
      <c r="L228" s="129"/>
      <c r="M228" s="129"/>
      <c r="N228" s="129">
        <f t="shared" si="51"/>
        <v>1</v>
      </c>
      <c r="O228" s="129">
        <f t="shared" si="61"/>
        <v>1</v>
      </c>
      <c r="P228" s="231">
        <f t="shared" si="52"/>
        <v>8</v>
      </c>
      <c r="Q228" s="233" cm="1">
        <f t="array" ref="Q228">SUMPRODUCT((H_tblBGTage=I228)*(H_tblBGMnt=E228)*H_tblBG%)</f>
        <v>1</v>
      </c>
      <c r="R228" s="231">
        <f t="shared" si="62"/>
        <v>8</v>
      </c>
      <c r="S228" s="237"/>
      <c r="T228" s="237"/>
      <c r="U228" s="236" cm="1">
        <f t="array" ref="U228">SUMPRODUCT((AUG!M_Verweiszeile=$H228)*AUG!M_ProdTag*(AUG!M_Monat=$E228))</f>
        <v>0</v>
      </c>
      <c r="V228" s="236" cm="1">
        <f t="array" ref="V228">SUMPRODUCT((AUG!M_Verweiszeile=$H228)*AUG!M_ProdN1*(AUG!M_Monat=$E228))</f>
        <v>0</v>
      </c>
      <c r="W228" s="236" cm="1">
        <f t="array" ref="W228">SUMPRODUCT((AUG!M_Verweiszeile=$H228)*AUG!M_ProdN2*(AUG!M_Monat=$E228))</f>
        <v>0</v>
      </c>
      <c r="X228" s="236">
        <f t="shared" si="63"/>
        <v>0</v>
      </c>
      <c r="Y228" s="236">
        <f t="shared" si="53"/>
        <v>0</v>
      </c>
      <c r="Z228" s="236">
        <f t="shared" si="54"/>
        <v>0</v>
      </c>
      <c r="AA228" s="236">
        <f t="shared" si="64"/>
        <v>0</v>
      </c>
      <c r="AB228" s="236">
        <f t="shared" si="65"/>
        <v>0</v>
      </c>
      <c r="AC228" s="236">
        <f t="shared" si="66"/>
        <v>0</v>
      </c>
    </row>
    <row r="229" spans="3:29" s="189" customFormat="1" x14ac:dyDescent="0.2">
      <c r="C229" s="129">
        <v>220</v>
      </c>
      <c r="D229" s="190">
        <f t="shared" si="67"/>
        <v>45511</v>
      </c>
      <c r="E229" s="129">
        <f t="shared" si="55"/>
        <v>8</v>
      </c>
      <c r="F229" s="191">
        <f t="shared" si="56"/>
        <v>45511</v>
      </c>
      <c r="G229" s="129">
        <f t="shared" si="57"/>
        <v>32</v>
      </c>
      <c r="H229" s="129">
        <f t="shared" si="58"/>
        <v>7</v>
      </c>
      <c r="I229" s="129">
        <f t="shared" si="59"/>
        <v>3</v>
      </c>
      <c r="J229" s="192">
        <f t="shared" si="60"/>
        <v>45511</v>
      </c>
      <c r="K229" s="129" t="str" cm="1">
        <f t="array" ref="K229">IF(AND(I229&lt;7,INDEX(B_tblFTMatrix,$E229,$H229)="x"),"ft","")</f>
        <v/>
      </c>
      <c r="L229" s="129"/>
      <c r="M229" s="129"/>
      <c r="N229" s="129">
        <f t="shared" si="51"/>
        <v>1</v>
      </c>
      <c r="O229" s="129">
        <f t="shared" si="61"/>
        <v>1</v>
      </c>
      <c r="P229" s="231">
        <f t="shared" si="52"/>
        <v>8</v>
      </c>
      <c r="Q229" s="233" cm="1">
        <f t="array" ref="Q229">SUMPRODUCT((H_tblBGTage=I229)*(H_tblBGMnt=E229)*H_tblBG%)</f>
        <v>1</v>
      </c>
      <c r="R229" s="231">
        <f t="shared" si="62"/>
        <v>8</v>
      </c>
      <c r="S229" s="237"/>
      <c r="T229" s="237"/>
      <c r="U229" s="236" cm="1">
        <f t="array" ref="U229">SUMPRODUCT((AUG!M_Verweiszeile=$H229)*AUG!M_ProdTag*(AUG!M_Monat=$E229))</f>
        <v>0</v>
      </c>
      <c r="V229" s="236" cm="1">
        <f t="array" ref="V229">SUMPRODUCT((AUG!M_Verweiszeile=$H229)*AUG!M_ProdN1*(AUG!M_Monat=$E229))</f>
        <v>0</v>
      </c>
      <c r="W229" s="236" cm="1">
        <f t="array" ref="W229">SUMPRODUCT((AUG!M_Verweiszeile=$H229)*AUG!M_ProdN2*(AUG!M_Monat=$E229))</f>
        <v>0</v>
      </c>
      <c r="X229" s="236">
        <f t="shared" si="63"/>
        <v>0</v>
      </c>
      <c r="Y229" s="236">
        <f t="shared" si="53"/>
        <v>0</v>
      </c>
      <c r="Z229" s="236">
        <f t="shared" si="54"/>
        <v>0</v>
      </c>
      <c r="AA229" s="236">
        <f t="shared" si="64"/>
        <v>0</v>
      </c>
      <c r="AB229" s="236">
        <f t="shared" si="65"/>
        <v>0</v>
      </c>
      <c r="AC229" s="236">
        <f t="shared" si="66"/>
        <v>0</v>
      </c>
    </row>
    <row r="230" spans="3:29" s="189" customFormat="1" x14ac:dyDescent="0.2">
      <c r="C230" s="129">
        <v>221</v>
      </c>
      <c r="D230" s="190">
        <f t="shared" si="67"/>
        <v>45512</v>
      </c>
      <c r="E230" s="129">
        <f t="shared" si="55"/>
        <v>8</v>
      </c>
      <c r="F230" s="191">
        <f t="shared" si="56"/>
        <v>45512</v>
      </c>
      <c r="G230" s="129">
        <f t="shared" si="57"/>
        <v>32</v>
      </c>
      <c r="H230" s="129">
        <f t="shared" si="58"/>
        <v>8</v>
      </c>
      <c r="I230" s="129">
        <f t="shared" si="59"/>
        <v>4</v>
      </c>
      <c r="J230" s="192">
        <f t="shared" si="60"/>
        <v>45512</v>
      </c>
      <c r="K230" s="129" t="str" cm="1">
        <f t="array" ref="K230">IF(AND(I230&lt;7,INDEX(B_tblFTMatrix,$E230,$H230)="x"),"ft","")</f>
        <v/>
      </c>
      <c r="L230" s="129"/>
      <c r="M230" s="129"/>
      <c r="N230" s="129">
        <f t="shared" si="51"/>
        <v>1</v>
      </c>
      <c r="O230" s="129">
        <f t="shared" si="61"/>
        <v>1</v>
      </c>
      <c r="P230" s="231">
        <f t="shared" si="52"/>
        <v>8</v>
      </c>
      <c r="Q230" s="233" cm="1">
        <f t="array" ref="Q230">SUMPRODUCT((H_tblBGTage=I230)*(H_tblBGMnt=E230)*H_tblBG%)</f>
        <v>1</v>
      </c>
      <c r="R230" s="231">
        <f t="shared" si="62"/>
        <v>8</v>
      </c>
      <c r="S230" s="237"/>
      <c r="T230" s="237"/>
      <c r="U230" s="236" cm="1">
        <f t="array" ref="U230">SUMPRODUCT((AUG!M_Verweiszeile=$H230)*AUG!M_ProdTag*(AUG!M_Monat=$E230))</f>
        <v>0</v>
      </c>
      <c r="V230" s="236" cm="1">
        <f t="array" ref="V230">SUMPRODUCT((AUG!M_Verweiszeile=$H230)*AUG!M_ProdN1*(AUG!M_Monat=$E230))</f>
        <v>0</v>
      </c>
      <c r="W230" s="236" cm="1">
        <f t="array" ref="W230">SUMPRODUCT((AUG!M_Verweiszeile=$H230)*AUG!M_ProdN2*(AUG!M_Monat=$E230))</f>
        <v>0</v>
      </c>
      <c r="X230" s="236">
        <f t="shared" si="63"/>
        <v>0</v>
      </c>
      <c r="Y230" s="236">
        <f t="shared" si="53"/>
        <v>0</v>
      </c>
      <c r="Z230" s="236">
        <f t="shared" si="54"/>
        <v>0</v>
      </c>
      <c r="AA230" s="236">
        <f t="shared" si="64"/>
        <v>0</v>
      </c>
      <c r="AB230" s="236">
        <f t="shared" si="65"/>
        <v>0</v>
      </c>
      <c r="AC230" s="236">
        <f t="shared" si="66"/>
        <v>0</v>
      </c>
    </row>
    <row r="231" spans="3:29" s="189" customFormat="1" x14ac:dyDescent="0.2">
      <c r="C231" s="129">
        <v>222</v>
      </c>
      <c r="D231" s="190">
        <f t="shared" si="67"/>
        <v>45513</v>
      </c>
      <c r="E231" s="129">
        <f t="shared" si="55"/>
        <v>8</v>
      </c>
      <c r="F231" s="191">
        <f t="shared" si="56"/>
        <v>45513</v>
      </c>
      <c r="G231" s="129">
        <f t="shared" si="57"/>
        <v>32</v>
      </c>
      <c r="H231" s="129">
        <f t="shared" si="58"/>
        <v>9</v>
      </c>
      <c r="I231" s="129">
        <f t="shared" si="59"/>
        <v>5</v>
      </c>
      <c r="J231" s="192">
        <f t="shared" si="60"/>
        <v>45513</v>
      </c>
      <c r="K231" s="129" t="str" cm="1">
        <f t="array" ref="K231">IF(AND(I231&lt;7,INDEX(B_tblFTMatrix,$E231,$H231)="x"),"ft","")</f>
        <v/>
      </c>
      <c r="L231" s="129"/>
      <c r="M231" s="129"/>
      <c r="N231" s="129">
        <f t="shared" si="51"/>
        <v>1</v>
      </c>
      <c r="O231" s="129">
        <f t="shared" si="61"/>
        <v>1</v>
      </c>
      <c r="P231" s="231">
        <f t="shared" si="52"/>
        <v>8</v>
      </c>
      <c r="Q231" s="233" cm="1">
        <f t="array" ref="Q231">SUMPRODUCT((H_tblBGTage=I231)*(H_tblBGMnt=E231)*H_tblBG%)</f>
        <v>1</v>
      </c>
      <c r="R231" s="231">
        <f t="shared" si="62"/>
        <v>8</v>
      </c>
      <c r="S231" s="237"/>
      <c r="T231" s="237"/>
      <c r="U231" s="236" cm="1">
        <f t="array" ref="U231">SUMPRODUCT((AUG!M_Verweiszeile=$H231)*AUG!M_ProdTag*(AUG!M_Monat=$E231))</f>
        <v>0</v>
      </c>
      <c r="V231" s="236" cm="1">
        <f t="array" ref="V231">SUMPRODUCT((AUG!M_Verweiszeile=$H231)*AUG!M_ProdN1*(AUG!M_Monat=$E231))</f>
        <v>0</v>
      </c>
      <c r="W231" s="236" cm="1">
        <f t="array" ref="W231">SUMPRODUCT((AUG!M_Verweiszeile=$H231)*AUG!M_ProdN2*(AUG!M_Monat=$E231))</f>
        <v>0</v>
      </c>
      <c r="X231" s="236">
        <f t="shared" si="63"/>
        <v>0</v>
      </c>
      <c r="Y231" s="236">
        <f t="shared" si="53"/>
        <v>0</v>
      </c>
      <c r="Z231" s="236">
        <f t="shared" si="54"/>
        <v>0</v>
      </c>
      <c r="AA231" s="236">
        <f t="shared" si="64"/>
        <v>0</v>
      </c>
      <c r="AB231" s="236">
        <f t="shared" si="65"/>
        <v>0</v>
      </c>
      <c r="AC231" s="236">
        <f t="shared" si="66"/>
        <v>0</v>
      </c>
    </row>
    <row r="232" spans="3:29" s="189" customFormat="1" x14ac:dyDescent="0.2">
      <c r="C232" s="129">
        <v>223</v>
      </c>
      <c r="D232" s="190">
        <f t="shared" si="67"/>
        <v>45514</v>
      </c>
      <c r="E232" s="129">
        <f t="shared" si="55"/>
        <v>8</v>
      </c>
      <c r="F232" s="191">
        <f t="shared" si="56"/>
        <v>45514</v>
      </c>
      <c r="G232" s="129">
        <f t="shared" si="57"/>
        <v>32</v>
      </c>
      <c r="H232" s="129">
        <f t="shared" si="58"/>
        <v>10</v>
      </c>
      <c r="I232" s="129">
        <f t="shared" si="59"/>
        <v>6</v>
      </c>
      <c r="J232" s="192">
        <f t="shared" si="60"/>
        <v>45514</v>
      </c>
      <c r="K232" s="129" t="str" cm="1">
        <f t="array" ref="K232">IF(AND(I232&lt;7,INDEX(B_tblFTMatrix,$E232,$H232)="x"),"ft","")</f>
        <v/>
      </c>
      <c r="L232" s="129"/>
      <c r="M232" s="129"/>
      <c r="N232" s="129">
        <f t="shared" si="51"/>
        <v>0</v>
      </c>
      <c r="O232" s="129">
        <f t="shared" si="61"/>
        <v>0</v>
      </c>
      <c r="P232" s="231">
        <f t="shared" si="52"/>
        <v>0</v>
      </c>
      <c r="Q232" s="233" cm="1">
        <f t="array" ref="Q232">SUMPRODUCT((H_tblBGTage=I232)*(H_tblBGMnt=E232)*H_tblBG%)</f>
        <v>0</v>
      </c>
      <c r="R232" s="231">
        <f t="shared" si="62"/>
        <v>0</v>
      </c>
      <c r="S232" s="237"/>
      <c r="T232" s="237"/>
      <c r="U232" s="236" cm="1">
        <f t="array" ref="U232">SUMPRODUCT((AUG!M_Verweiszeile=$H232)*AUG!M_ProdTag*(AUG!M_Monat=$E232))</f>
        <v>0</v>
      </c>
      <c r="V232" s="236" cm="1">
        <f t="array" ref="V232">SUMPRODUCT((AUG!M_Verweiszeile=$H232)*AUG!M_ProdN1*(AUG!M_Monat=$E232))</f>
        <v>0</v>
      </c>
      <c r="W232" s="236" cm="1">
        <f t="array" ref="W232">SUMPRODUCT((AUG!M_Verweiszeile=$H232)*AUG!M_ProdN2*(AUG!M_Monat=$E232))</f>
        <v>0</v>
      </c>
      <c r="X232" s="236">
        <f t="shared" si="63"/>
        <v>0</v>
      </c>
      <c r="Y232" s="236">
        <f t="shared" si="53"/>
        <v>0</v>
      </c>
      <c r="Z232" s="236">
        <f t="shared" si="54"/>
        <v>0</v>
      </c>
      <c r="AA232" s="236">
        <f t="shared" si="64"/>
        <v>0</v>
      </c>
      <c r="AB232" s="236">
        <f t="shared" si="65"/>
        <v>0</v>
      </c>
      <c r="AC232" s="236">
        <f t="shared" si="66"/>
        <v>0</v>
      </c>
    </row>
    <row r="233" spans="3:29" s="189" customFormat="1" x14ac:dyDescent="0.2">
      <c r="C233" s="129">
        <v>224</v>
      </c>
      <c r="D233" s="190">
        <f t="shared" si="67"/>
        <v>45515</v>
      </c>
      <c r="E233" s="129">
        <f t="shared" si="55"/>
        <v>8</v>
      </c>
      <c r="F233" s="191">
        <f t="shared" si="56"/>
        <v>45515</v>
      </c>
      <c r="G233" s="129">
        <f t="shared" si="57"/>
        <v>32</v>
      </c>
      <c r="H233" s="129">
        <f t="shared" si="58"/>
        <v>11</v>
      </c>
      <c r="I233" s="129">
        <f t="shared" si="59"/>
        <v>7</v>
      </c>
      <c r="J233" s="192">
        <f t="shared" si="60"/>
        <v>45515</v>
      </c>
      <c r="K233" s="129" t="str" cm="1">
        <f t="array" ref="K233">IF(AND(I233&lt;7,INDEX(B_tblFTMatrix,$E233,$H233)="x"),"ft","")</f>
        <v/>
      </c>
      <c r="L233" s="129"/>
      <c r="M233" s="129"/>
      <c r="N233" s="129">
        <f t="shared" si="51"/>
        <v>0</v>
      </c>
      <c r="O233" s="129">
        <f t="shared" si="61"/>
        <v>0</v>
      </c>
      <c r="P233" s="231">
        <f t="shared" si="52"/>
        <v>0</v>
      </c>
      <c r="Q233" s="233" cm="1">
        <f t="array" ref="Q233">SUMPRODUCT((H_tblBGTage=I233)*(H_tblBGMnt=E233)*H_tblBG%)</f>
        <v>0</v>
      </c>
      <c r="R233" s="231">
        <f t="shared" si="62"/>
        <v>0</v>
      </c>
      <c r="S233" s="237"/>
      <c r="T233" s="237"/>
      <c r="U233" s="236" cm="1">
        <f t="array" ref="U233">SUMPRODUCT((AUG!M_Verweiszeile=$H233)*AUG!M_ProdTag*(AUG!M_Monat=$E233))</f>
        <v>0</v>
      </c>
      <c r="V233" s="236" cm="1">
        <f t="array" ref="V233">SUMPRODUCT((AUG!M_Verweiszeile=$H233)*AUG!M_ProdN1*(AUG!M_Monat=$E233))</f>
        <v>0</v>
      </c>
      <c r="W233" s="236" cm="1">
        <f t="array" ref="W233">SUMPRODUCT((AUG!M_Verweiszeile=$H233)*AUG!M_ProdN2*(AUG!M_Monat=$E233))</f>
        <v>0</v>
      </c>
      <c r="X233" s="236">
        <f t="shared" si="63"/>
        <v>0</v>
      </c>
      <c r="Y233" s="236">
        <f t="shared" si="53"/>
        <v>0</v>
      </c>
      <c r="Z233" s="236">
        <f t="shared" si="54"/>
        <v>0</v>
      </c>
      <c r="AA233" s="236">
        <f t="shared" si="64"/>
        <v>0</v>
      </c>
      <c r="AB233" s="236">
        <f t="shared" si="65"/>
        <v>0</v>
      </c>
      <c r="AC233" s="236">
        <f t="shared" si="66"/>
        <v>0</v>
      </c>
    </row>
    <row r="234" spans="3:29" s="189" customFormat="1" x14ac:dyDescent="0.2">
      <c r="C234" s="129">
        <v>225</v>
      </c>
      <c r="D234" s="190">
        <f t="shared" si="67"/>
        <v>45516</v>
      </c>
      <c r="E234" s="129">
        <f t="shared" si="55"/>
        <v>8</v>
      </c>
      <c r="F234" s="191">
        <f t="shared" si="56"/>
        <v>45516</v>
      </c>
      <c r="G234" s="129">
        <f t="shared" si="57"/>
        <v>33</v>
      </c>
      <c r="H234" s="129">
        <f t="shared" si="58"/>
        <v>12</v>
      </c>
      <c r="I234" s="129">
        <f t="shared" si="59"/>
        <v>1</v>
      </c>
      <c r="J234" s="192">
        <f t="shared" si="60"/>
        <v>45516</v>
      </c>
      <c r="K234" s="129" t="str" cm="1">
        <f t="array" ref="K234">IF(AND(I234&lt;7,INDEX(B_tblFTMatrix,$E234,$H234)="x"),"ft","")</f>
        <v/>
      </c>
      <c r="L234" s="129"/>
      <c r="M234" s="129"/>
      <c r="N234" s="129">
        <f t="shared" si="51"/>
        <v>1</v>
      </c>
      <c r="O234" s="129">
        <f t="shared" si="61"/>
        <v>1</v>
      </c>
      <c r="P234" s="231">
        <f t="shared" si="52"/>
        <v>8</v>
      </c>
      <c r="Q234" s="233" cm="1">
        <f t="array" ref="Q234">SUMPRODUCT((H_tblBGTage=I234)*(H_tblBGMnt=E234)*H_tblBG%)</f>
        <v>1</v>
      </c>
      <c r="R234" s="231">
        <f t="shared" si="62"/>
        <v>8</v>
      </c>
      <c r="S234" s="237"/>
      <c r="T234" s="237"/>
      <c r="U234" s="236" cm="1">
        <f t="array" ref="U234">SUMPRODUCT((AUG!M_Verweiszeile=$H234)*AUG!M_ProdTag*(AUG!M_Monat=$E234))</f>
        <v>0</v>
      </c>
      <c r="V234" s="236" cm="1">
        <f t="array" ref="V234">SUMPRODUCT((AUG!M_Verweiszeile=$H234)*AUG!M_ProdN1*(AUG!M_Monat=$E234))</f>
        <v>0</v>
      </c>
      <c r="W234" s="236" cm="1">
        <f t="array" ref="W234">SUMPRODUCT((AUG!M_Verweiszeile=$H234)*AUG!M_ProdN2*(AUG!M_Monat=$E234))</f>
        <v>0</v>
      </c>
      <c r="X234" s="236">
        <f t="shared" si="63"/>
        <v>0</v>
      </c>
      <c r="Y234" s="236">
        <f t="shared" si="53"/>
        <v>0</v>
      </c>
      <c r="Z234" s="236">
        <f t="shared" si="54"/>
        <v>0</v>
      </c>
      <c r="AA234" s="236">
        <f t="shared" si="64"/>
        <v>0</v>
      </c>
      <c r="AB234" s="236">
        <f t="shared" si="65"/>
        <v>0</v>
      </c>
      <c r="AC234" s="236">
        <f t="shared" si="66"/>
        <v>0</v>
      </c>
    </row>
    <row r="235" spans="3:29" s="189" customFormat="1" x14ac:dyDescent="0.2">
      <c r="C235" s="129">
        <v>226</v>
      </c>
      <c r="D235" s="190">
        <f t="shared" si="67"/>
        <v>45517</v>
      </c>
      <c r="E235" s="129">
        <f t="shared" si="55"/>
        <v>8</v>
      </c>
      <c r="F235" s="191">
        <f t="shared" si="56"/>
        <v>45517</v>
      </c>
      <c r="G235" s="129">
        <f t="shared" si="57"/>
        <v>33</v>
      </c>
      <c r="H235" s="129">
        <f t="shared" si="58"/>
        <v>13</v>
      </c>
      <c r="I235" s="129">
        <f t="shared" si="59"/>
        <v>2</v>
      </c>
      <c r="J235" s="192">
        <f t="shared" si="60"/>
        <v>45517</v>
      </c>
      <c r="K235" s="129" t="str" cm="1">
        <f t="array" ref="K235">IF(AND(I235&lt;7,INDEX(B_tblFTMatrix,$E235,$H235)="x"),"ft","")</f>
        <v/>
      </c>
      <c r="L235" s="129"/>
      <c r="M235" s="129"/>
      <c r="N235" s="129">
        <f t="shared" si="51"/>
        <v>1</v>
      </c>
      <c r="O235" s="129">
        <f t="shared" si="61"/>
        <v>1</v>
      </c>
      <c r="P235" s="231">
        <f t="shared" si="52"/>
        <v>8</v>
      </c>
      <c r="Q235" s="233" cm="1">
        <f t="array" ref="Q235">SUMPRODUCT((H_tblBGTage=I235)*(H_tblBGMnt=E235)*H_tblBG%)</f>
        <v>1</v>
      </c>
      <c r="R235" s="231">
        <f t="shared" si="62"/>
        <v>8</v>
      </c>
      <c r="S235" s="237"/>
      <c r="T235" s="237"/>
      <c r="U235" s="236" cm="1">
        <f t="array" ref="U235">SUMPRODUCT((AUG!M_Verweiszeile=$H235)*AUG!M_ProdTag*(AUG!M_Monat=$E235))</f>
        <v>0</v>
      </c>
      <c r="V235" s="236" cm="1">
        <f t="array" ref="V235">SUMPRODUCT((AUG!M_Verweiszeile=$H235)*AUG!M_ProdN1*(AUG!M_Monat=$E235))</f>
        <v>0</v>
      </c>
      <c r="W235" s="236" cm="1">
        <f t="array" ref="W235">SUMPRODUCT((AUG!M_Verweiszeile=$H235)*AUG!M_ProdN2*(AUG!M_Monat=$E235))</f>
        <v>0</v>
      </c>
      <c r="X235" s="236">
        <f t="shared" si="63"/>
        <v>0</v>
      </c>
      <c r="Y235" s="236">
        <f t="shared" si="53"/>
        <v>0</v>
      </c>
      <c r="Z235" s="236">
        <f t="shared" si="54"/>
        <v>0</v>
      </c>
      <c r="AA235" s="236">
        <f t="shared" si="64"/>
        <v>0</v>
      </c>
      <c r="AB235" s="236">
        <f t="shared" si="65"/>
        <v>0</v>
      </c>
      <c r="AC235" s="236">
        <f t="shared" si="66"/>
        <v>0</v>
      </c>
    </row>
    <row r="236" spans="3:29" s="189" customFormat="1" x14ac:dyDescent="0.2">
      <c r="C236" s="129">
        <v>227</v>
      </c>
      <c r="D236" s="190">
        <f t="shared" si="67"/>
        <v>45518</v>
      </c>
      <c r="E236" s="129">
        <f t="shared" si="55"/>
        <v>8</v>
      </c>
      <c r="F236" s="191">
        <f t="shared" si="56"/>
        <v>45518</v>
      </c>
      <c r="G236" s="129">
        <f t="shared" si="57"/>
        <v>33</v>
      </c>
      <c r="H236" s="129">
        <f t="shared" si="58"/>
        <v>14</v>
      </c>
      <c r="I236" s="129">
        <f t="shared" si="59"/>
        <v>3</v>
      </c>
      <c r="J236" s="192">
        <f t="shared" si="60"/>
        <v>45518</v>
      </c>
      <c r="K236" s="129" t="str" cm="1">
        <f t="array" ref="K236">IF(AND(I236&lt;7,INDEX(B_tblFTMatrix,$E236,$H236)="x"),"ft","")</f>
        <v/>
      </c>
      <c r="L236" s="129"/>
      <c r="M236" s="129"/>
      <c r="N236" s="129">
        <f t="shared" si="51"/>
        <v>1</v>
      </c>
      <c r="O236" s="129">
        <f t="shared" si="61"/>
        <v>1</v>
      </c>
      <c r="P236" s="231">
        <f t="shared" si="52"/>
        <v>8</v>
      </c>
      <c r="Q236" s="233" cm="1">
        <f t="array" ref="Q236">SUMPRODUCT((H_tblBGTage=I236)*(H_tblBGMnt=E236)*H_tblBG%)</f>
        <v>1</v>
      </c>
      <c r="R236" s="231">
        <f t="shared" si="62"/>
        <v>8</v>
      </c>
      <c r="S236" s="237"/>
      <c r="T236" s="237"/>
      <c r="U236" s="236" cm="1">
        <f t="array" ref="U236">SUMPRODUCT((AUG!M_Verweiszeile=$H236)*AUG!M_ProdTag*(AUG!M_Monat=$E236))</f>
        <v>0</v>
      </c>
      <c r="V236" s="236" cm="1">
        <f t="array" ref="V236">SUMPRODUCT((AUG!M_Verweiszeile=$H236)*AUG!M_ProdN1*(AUG!M_Monat=$E236))</f>
        <v>0</v>
      </c>
      <c r="W236" s="236" cm="1">
        <f t="array" ref="W236">SUMPRODUCT((AUG!M_Verweiszeile=$H236)*AUG!M_ProdN2*(AUG!M_Monat=$E236))</f>
        <v>0</v>
      </c>
      <c r="X236" s="236">
        <f t="shared" si="63"/>
        <v>0</v>
      </c>
      <c r="Y236" s="236">
        <f t="shared" si="53"/>
        <v>0</v>
      </c>
      <c r="Z236" s="236">
        <f t="shared" si="54"/>
        <v>0</v>
      </c>
      <c r="AA236" s="236">
        <f t="shared" si="64"/>
        <v>0</v>
      </c>
      <c r="AB236" s="236">
        <f t="shared" si="65"/>
        <v>0</v>
      </c>
      <c r="AC236" s="236">
        <f t="shared" si="66"/>
        <v>0</v>
      </c>
    </row>
    <row r="237" spans="3:29" s="189" customFormat="1" x14ac:dyDescent="0.2">
      <c r="C237" s="129">
        <v>228</v>
      </c>
      <c r="D237" s="190">
        <f t="shared" si="67"/>
        <v>45519</v>
      </c>
      <c r="E237" s="129">
        <f t="shared" si="55"/>
        <v>8</v>
      </c>
      <c r="F237" s="191">
        <f t="shared" si="56"/>
        <v>45519</v>
      </c>
      <c r="G237" s="129">
        <f t="shared" si="57"/>
        <v>33</v>
      </c>
      <c r="H237" s="129">
        <f t="shared" si="58"/>
        <v>15</v>
      </c>
      <c r="I237" s="129">
        <f t="shared" si="59"/>
        <v>4</v>
      </c>
      <c r="J237" s="192">
        <f t="shared" si="60"/>
        <v>45519</v>
      </c>
      <c r="K237" s="129" t="str" cm="1">
        <f t="array" ref="K237">IF(AND(I237&lt;7,INDEX(B_tblFTMatrix,$E237,$H237)="x"),"ft","")</f>
        <v/>
      </c>
      <c r="L237" s="129"/>
      <c r="M237" s="129"/>
      <c r="N237" s="129">
        <f t="shared" si="51"/>
        <v>1</v>
      </c>
      <c r="O237" s="129">
        <f t="shared" si="61"/>
        <v>1</v>
      </c>
      <c r="P237" s="231">
        <f t="shared" si="52"/>
        <v>8</v>
      </c>
      <c r="Q237" s="233" cm="1">
        <f t="array" ref="Q237">SUMPRODUCT((H_tblBGTage=I237)*(H_tblBGMnt=E237)*H_tblBG%)</f>
        <v>1</v>
      </c>
      <c r="R237" s="231">
        <f t="shared" si="62"/>
        <v>8</v>
      </c>
      <c r="S237" s="237"/>
      <c r="T237" s="237"/>
      <c r="U237" s="236" cm="1">
        <f t="array" ref="U237">SUMPRODUCT((AUG!M_Verweiszeile=$H237)*AUG!M_ProdTag*(AUG!M_Monat=$E237))</f>
        <v>0</v>
      </c>
      <c r="V237" s="236" cm="1">
        <f t="array" ref="V237">SUMPRODUCT((AUG!M_Verweiszeile=$H237)*AUG!M_ProdN1*(AUG!M_Monat=$E237))</f>
        <v>0</v>
      </c>
      <c r="W237" s="236" cm="1">
        <f t="array" ref="W237">SUMPRODUCT((AUG!M_Verweiszeile=$H237)*AUG!M_ProdN2*(AUG!M_Monat=$E237))</f>
        <v>0</v>
      </c>
      <c r="X237" s="236">
        <f t="shared" si="63"/>
        <v>0</v>
      </c>
      <c r="Y237" s="236">
        <f t="shared" si="53"/>
        <v>0</v>
      </c>
      <c r="Z237" s="236">
        <f t="shared" si="54"/>
        <v>0</v>
      </c>
      <c r="AA237" s="236">
        <f t="shared" si="64"/>
        <v>0</v>
      </c>
      <c r="AB237" s="236">
        <f t="shared" si="65"/>
        <v>0</v>
      </c>
      <c r="AC237" s="236">
        <f t="shared" si="66"/>
        <v>0</v>
      </c>
    </row>
    <row r="238" spans="3:29" s="189" customFormat="1" x14ac:dyDescent="0.2">
      <c r="C238" s="129">
        <v>229</v>
      </c>
      <c r="D238" s="190">
        <f t="shared" si="67"/>
        <v>45520</v>
      </c>
      <c r="E238" s="129">
        <f t="shared" si="55"/>
        <v>8</v>
      </c>
      <c r="F238" s="191">
        <f t="shared" si="56"/>
        <v>45520</v>
      </c>
      <c r="G238" s="129">
        <f t="shared" si="57"/>
        <v>33</v>
      </c>
      <c r="H238" s="129">
        <f t="shared" si="58"/>
        <v>16</v>
      </c>
      <c r="I238" s="129">
        <f t="shared" si="59"/>
        <v>5</v>
      </c>
      <c r="J238" s="192">
        <f t="shared" si="60"/>
        <v>45520</v>
      </c>
      <c r="K238" s="129" t="str" cm="1">
        <f t="array" ref="K238">IF(AND(I238&lt;7,INDEX(B_tblFTMatrix,$E238,$H238)="x"),"ft","")</f>
        <v/>
      </c>
      <c r="L238" s="129"/>
      <c r="M238" s="129"/>
      <c r="N238" s="129">
        <f t="shared" si="51"/>
        <v>1</v>
      </c>
      <c r="O238" s="129">
        <f t="shared" si="61"/>
        <v>1</v>
      </c>
      <c r="P238" s="231">
        <f t="shared" si="52"/>
        <v>8</v>
      </c>
      <c r="Q238" s="233" cm="1">
        <f t="array" ref="Q238">SUMPRODUCT((H_tblBGTage=I238)*(H_tblBGMnt=E238)*H_tblBG%)</f>
        <v>1</v>
      </c>
      <c r="R238" s="231">
        <f t="shared" si="62"/>
        <v>8</v>
      </c>
      <c r="S238" s="237"/>
      <c r="T238" s="237"/>
      <c r="U238" s="236" cm="1">
        <f t="array" ref="U238">SUMPRODUCT((AUG!M_Verweiszeile=$H238)*AUG!M_ProdTag*(AUG!M_Monat=$E238))</f>
        <v>0</v>
      </c>
      <c r="V238" s="236" cm="1">
        <f t="array" ref="V238">SUMPRODUCT((AUG!M_Verweiszeile=$H238)*AUG!M_ProdN1*(AUG!M_Monat=$E238))</f>
        <v>0</v>
      </c>
      <c r="W238" s="236" cm="1">
        <f t="array" ref="W238">SUMPRODUCT((AUG!M_Verweiszeile=$H238)*AUG!M_ProdN2*(AUG!M_Monat=$E238))</f>
        <v>0</v>
      </c>
      <c r="X238" s="236">
        <f t="shared" si="63"/>
        <v>0</v>
      </c>
      <c r="Y238" s="236">
        <f t="shared" si="53"/>
        <v>0</v>
      </c>
      <c r="Z238" s="236">
        <f t="shared" si="54"/>
        <v>0</v>
      </c>
      <c r="AA238" s="236">
        <f t="shared" si="64"/>
        <v>0</v>
      </c>
      <c r="AB238" s="236">
        <f t="shared" si="65"/>
        <v>0</v>
      </c>
      <c r="AC238" s="236">
        <f t="shared" si="66"/>
        <v>0</v>
      </c>
    </row>
    <row r="239" spans="3:29" s="189" customFormat="1" x14ac:dyDescent="0.2">
      <c r="C239" s="129">
        <v>230</v>
      </c>
      <c r="D239" s="190">
        <f t="shared" si="67"/>
        <v>45521</v>
      </c>
      <c r="E239" s="129">
        <f t="shared" si="55"/>
        <v>8</v>
      </c>
      <c r="F239" s="191">
        <f t="shared" si="56"/>
        <v>45521</v>
      </c>
      <c r="G239" s="129">
        <f t="shared" si="57"/>
        <v>33</v>
      </c>
      <c r="H239" s="129">
        <f t="shared" si="58"/>
        <v>17</v>
      </c>
      <c r="I239" s="129">
        <f t="shared" si="59"/>
        <v>6</v>
      </c>
      <c r="J239" s="192">
        <f t="shared" si="60"/>
        <v>45521</v>
      </c>
      <c r="K239" s="129" t="str" cm="1">
        <f t="array" ref="K239">IF(AND(I239&lt;7,INDEX(B_tblFTMatrix,$E239,$H239)="x"),"ft","")</f>
        <v/>
      </c>
      <c r="L239" s="129"/>
      <c r="M239" s="129"/>
      <c r="N239" s="129">
        <f t="shared" si="51"/>
        <v>0</v>
      </c>
      <c r="O239" s="129">
        <f t="shared" si="61"/>
        <v>0</v>
      </c>
      <c r="P239" s="231">
        <f t="shared" si="52"/>
        <v>0</v>
      </c>
      <c r="Q239" s="233" cm="1">
        <f t="array" ref="Q239">SUMPRODUCT((H_tblBGTage=I239)*(H_tblBGMnt=E239)*H_tblBG%)</f>
        <v>0</v>
      </c>
      <c r="R239" s="231">
        <f t="shared" si="62"/>
        <v>0</v>
      </c>
      <c r="S239" s="237"/>
      <c r="T239" s="237"/>
      <c r="U239" s="236" cm="1">
        <f t="array" ref="U239">SUMPRODUCT((AUG!M_Verweiszeile=$H239)*AUG!M_ProdTag*(AUG!M_Monat=$E239))</f>
        <v>0</v>
      </c>
      <c r="V239" s="236" cm="1">
        <f t="array" ref="V239">SUMPRODUCT((AUG!M_Verweiszeile=$H239)*AUG!M_ProdN1*(AUG!M_Monat=$E239))</f>
        <v>0</v>
      </c>
      <c r="W239" s="236" cm="1">
        <f t="array" ref="W239">SUMPRODUCT((AUG!M_Verweiszeile=$H239)*AUG!M_ProdN2*(AUG!M_Monat=$E239))</f>
        <v>0</v>
      </c>
      <c r="X239" s="236">
        <f t="shared" si="63"/>
        <v>0</v>
      </c>
      <c r="Y239" s="236">
        <f t="shared" si="53"/>
        <v>0</v>
      </c>
      <c r="Z239" s="236">
        <f t="shared" si="54"/>
        <v>0</v>
      </c>
      <c r="AA239" s="236">
        <f t="shared" si="64"/>
        <v>0</v>
      </c>
      <c r="AB239" s="236">
        <f t="shared" si="65"/>
        <v>0</v>
      </c>
      <c r="AC239" s="236">
        <f t="shared" si="66"/>
        <v>0</v>
      </c>
    </row>
    <row r="240" spans="3:29" s="189" customFormat="1" x14ac:dyDescent="0.2">
      <c r="C240" s="129">
        <v>231</v>
      </c>
      <c r="D240" s="190">
        <f t="shared" si="67"/>
        <v>45522</v>
      </c>
      <c r="E240" s="129">
        <f t="shared" si="55"/>
        <v>8</v>
      </c>
      <c r="F240" s="191">
        <f t="shared" si="56"/>
        <v>45522</v>
      </c>
      <c r="G240" s="129">
        <f t="shared" si="57"/>
        <v>33</v>
      </c>
      <c r="H240" s="129">
        <f t="shared" si="58"/>
        <v>18</v>
      </c>
      <c r="I240" s="129">
        <f t="shared" si="59"/>
        <v>7</v>
      </c>
      <c r="J240" s="192">
        <f t="shared" si="60"/>
        <v>45522</v>
      </c>
      <c r="K240" s="129" t="str" cm="1">
        <f t="array" ref="K240">IF(AND(I240&lt;7,INDEX(B_tblFTMatrix,$E240,$H240)="x"),"ft","")</f>
        <v/>
      </c>
      <c r="L240" s="129"/>
      <c r="M240" s="129"/>
      <c r="N240" s="129">
        <f t="shared" si="51"/>
        <v>0</v>
      </c>
      <c r="O240" s="129">
        <f t="shared" si="61"/>
        <v>0</v>
      </c>
      <c r="P240" s="231">
        <f t="shared" si="52"/>
        <v>0</v>
      </c>
      <c r="Q240" s="233" cm="1">
        <f t="array" ref="Q240">SUMPRODUCT((H_tblBGTage=I240)*(H_tblBGMnt=E240)*H_tblBG%)</f>
        <v>0</v>
      </c>
      <c r="R240" s="231">
        <f t="shared" si="62"/>
        <v>0</v>
      </c>
      <c r="S240" s="237"/>
      <c r="T240" s="237"/>
      <c r="U240" s="236" cm="1">
        <f t="array" ref="U240">SUMPRODUCT((AUG!M_Verweiszeile=$H240)*AUG!M_ProdTag*(AUG!M_Monat=$E240))</f>
        <v>0</v>
      </c>
      <c r="V240" s="236" cm="1">
        <f t="array" ref="V240">SUMPRODUCT((AUG!M_Verweiszeile=$H240)*AUG!M_ProdN1*(AUG!M_Monat=$E240))</f>
        <v>0</v>
      </c>
      <c r="W240" s="236" cm="1">
        <f t="array" ref="W240">SUMPRODUCT((AUG!M_Verweiszeile=$H240)*AUG!M_ProdN2*(AUG!M_Monat=$E240))</f>
        <v>0</v>
      </c>
      <c r="X240" s="236">
        <f t="shared" si="63"/>
        <v>0</v>
      </c>
      <c r="Y240" s="236">
        <f t="shared" si="53"/>
        <v>0</v>
      </c>
      <c r="Z240" s="236">
        <f t="shared" si="54"/>
        <v>0</v>
      </c>
      <c r="AA240" s="236">
        <f t="shared" si="64"/>
        <v>0</v>
      </c>
      <c r="AB240" s="236">
        <f t="shared" si="65"/>
        <v>0</v>
      </c>
      <c r="AC240" s="236">
        <f t="shared" si="66"/>
        <v>0</v>
      </c>
    </row>
    <row r="241" spans="3:29" s="189" customFormat="1" x14ac:dyDescent="0.2">
      <c r="C241" s="129">
        <v>232</v>
      </c>
      <c r="D241" s="190">
        <f t="shared" si="67"/>
        <v>45523</v>
      </c>
      <c r="E241" s="129">
        <f t="shared" si="55"/>
        <v>8</v>
      </c>
      <c r="F241" s="191">
        <f t="shared" si="56"/>
        <v>45523</v>
      </c>
      <c r="G241" s="129">
        <f t="shared" si="57"/>
        <v>34</v>
      </c>
      <c r="H241" s="129">
        <f t="shared" si="58"/>
        <v>19</v>
      </c>
      <c r="I241" s="129">
        <f t="shared" si="59"/>
        <v>1</v>
      </c>
      <c r="J241" s="192">
        <f t="shared" si="60"/>
        <v>45523</v>
      </c>
      <c r="K241" s="129" t="str" cm="1">
        <f t="array" ref="K241">IF(AND(I241&lt;7,INDEX(B_tblFTMatrix,$E241,$H241)="x"),"ft","")</f>
        <v/>
      </c>
      <c r="L241" s="129"/>
      <c r="M241" s="129"/>
      <c r="N241" s="129">
        <f t="shared" si="51"/>
        <v>1</v>
      </c>
      <c r="O241" s="129">
        <f t="shared" si="61"/>
        <v>1</v>
      </c>
      <c r="P241" s="231">
        <f t="shared" si="52"/>
        <v>8</v>
      </c>
      <c r="Q241" s="233" cm="1">
        <f t="array" ref="Q241">SUMPRODUCT((H_tblBGTage=I241)*(H_tblBGMnt=E241)*H_tblBG%)</f>
        <v>1</v>
      </c>
      <c r="R241" s="231">
        <f t="shared" si="62"/>
        <v>8</v>
      </c>
      <c r="S241" s="237"/>
      <c r="T241" s="237"/>
      <c r="U241" s="236" cm="1">
        <f t="array" ref="U241">SUMPRODUCT((AUG!M_Verweiszeile=$H241)*AUG!M_ProdTag*(AUG!M_Monat=$E241))</f>
        <v>0</v>
      </c>
      <c r="V241" s="236" cm="1">
        <f t="array" ref="V241">SUMPRODUCT((AUG!M_Verweiszeile=$H241)*AUG!M_ProdN1*(AUG!M_Monat=$E241))</f>
        <v>0</v>
      </c>
      <c r="W241" s="236" cm="1">
        <f t="array" ref="W241">SUMPRODUCT((AUG!M_Verweiszeile=$H241)*AUG!M_ProdN2*(AUG!M_Monat=$E241))</f>
        <v>0</v>
      </c>
      <c r="X241" s="236">
        <f t="shared" si="63"/>
        <v>0</v>
      </c>
      <c r="Y241" s="236">
        <f t="shared" si="53"/>
        <v>0</v>
      </c>
      <c r="Z241" s="236">
        <f t="shared" si="54"/>
        <v>0</v>
      </c>
      <c r="AA241" s="236">
        <f t="shared" si="64"/>
        <v>0</v>
      </c>
      <c r="AB241" s="236">
        <f t="shared" si="65"/>
        <v>0</v>
      </c>
      <c r="AC241" s="236">
        <f t="shared" si="66"/>
        <v>0</v>
      </c>
    </row>
    <row r="242" spans="3:29" s="189" customFormat="1" x14ac:dyDescent="0.2">
      <c r="C242" s="129">
        <v>233</v>
      </c>
      <c r="D242" s="190">
        <f t="shared" si="67"/>
        <v>45524</v>
      </c>
      <c r="E242" s="129">
        <f t="shared" si="55"/>
        <v>8</v>
      </c>
      <c r="F242" s="191">
        <f t="shared" si="56"/>
        <v>45524</v>
      </c>
      <c r="G242" s="129">
        <f t="shared" si="57"/>
        <v>34</v>
      </c>
      <c r="H242" s="129">
        <f t="shared" si="58"/>
        <v>20</v>
      </c>
      <c r="I242" s="129">
        <f t="shared" si="59"/>
        <v>2</v>
      </c>
      <c r="J242" s="192">
        <f t="shared" si="60"/>
        <v>45524</v>
      </c>
      <c r="K242" s="129" t="str" cm="1">
        <f t="array" ref="K242">IF(AND(I242&lt;7,INDEX(B_tblFTMatrix,$E242,$H242)="x"),"ft","")</f>
        <v/>
      </c>
      <c r="L242" s="129"/>
      <c r="M242" s="129"/>
      <c r="N242" s="129">
        <f t="shared" si="51"/>
        <v>1</v>
      </c>
      <c r="O242" s="129">
        <f t="shared" si="61"/>
        <v>1</v>
      </c>
      <c r="P242" s="231">
        <f t="shared" si="52"/>
        <v>8</v>
      </c>
      <c r="Q242" s="233" cm="1">
        <f t="array" ref="Q242">SUMPRODUCT((H_tblBGTage=I242)*(H_tblBGMnt=E242)*H_tblBG%)</f>
        <v>1</v>
      </c>
      <c r="R242" s="231">
        <f t="shared" si="62"/>
        <v>8</v>
      </c>
      <c r="S242" s="237"/>
      <c r="T242" s="237"/>
      <c r="U242" s="236" cm="1">
        <f t="array" ref="U242">SUMPRODUCT((AUG!M_Verweiszeile=$H242)*AUG!M_ProdTag*(AUG!M_Monat=$E242))</f>
        <v>0</v>
      </c>
      <c r="V242" s="236" cm="1">
        <f t="array" ref="V242">SUMPRODUCT((AUG!M_Verweiszeile=$H242)*AUG!M_ProdN1*(AUG!M_Monat=$E242))</f>
        <v>0</v>
      </c>
      <c r="W242" s="236" cm="1">
        <f t="array" ref="W242">SUMPRODUCT((AUG!M_Verweiszeile=$H242)*AUG!M_ProdN2*(AUG!M_Monat=$E242))</f>
        <v>0</v>
      </c>
      <c r="X242" s="236">
        <f t="shared" si="63"/>
        <v>0</v>
      </c>
      <c r="Y242" s="236">
        <f t="shared" si="53"/>
        <v>0</v>
      </c>
      <c r="Z242" s="236">
        <f t="shared" si="54"/>
        <v>0</v>
      </c>
      <c r="AA242" s="236">
        <f t="shared" si="64"/>
        <v>0</v>
      </c>
      <c r="AB242" s="236">
        <f t="shared" si="65"/>
        <v>0</v>
      </c>
      <c r="AC242" s="236">
        <f t="shared" si="66"/>
        <v>0</v>
      </c>
    </row>
    <row r="243" spans="3:29" s="189" customFormat="1" x14ac:dyDescent="0.2">
      <c r="C243" s="129">
        <v>234</v>
      </c>
      <c r="D243" s="190">
        <f t="shared" si="67"/>
        <v>45525</v>
      </c>
      <c r="E243" s="129">
        <f t="shared" si="55"/>
        <v>8</v>
      </c>
      <c r="F243" s="191">
        <f t="shared" si="56"/>
        <v>45525</v>
      </c>
      <c r="G243" s="129">
        <f t="shared" si="57"/>
        <v>34</v>
      </c>
      <c r="H243" s="129">
        <f t="shared" si="58"/>
        <v>21</v>
      </c>
      <c r="I243" s="129">
        <f t="shared" si="59"/>
        <v>3</v>
      </c>
      <c r="J243" s="192">
        <f t="shared" si="60"/>
        <v>45525</v>
      </c>
      <c r="K243" s="129" t="str" cm="1">
        <f t="array" ref="K243">IF(AND(I243&lt;7,INDEX(B_tblFTMatrix,$E243,$H243)="x"),"ft","")</f>
        <v/>
      </c>
      <c r="L243" s="129"/>
      <c r="M243" s="129"/>
      <c r="N243" s="129">
        <f t="shared" si="51"/>
        <v>1</v>
      </c>
      <c r="O243" s="129">
        <f t="shared" si="61"/>
        <v>1</v>
      </c>
      <c r="P243" s="231">
        <f t="shared" si="52"/>
        <v>8</v>
      </c>
      <c r="Q243" s="233" cm="1">
        <f t="array" ref="Q243">SUMPRODUCT((H_tblBGTage=I243)*(H_tblBGMnt=E243)*H_tblBG%)</f>
        <v>1</v>
      </c>
      <c r="R243" s="231">
        <f t="shared" si="62"/>
        <v>8</v>
      </c>
      <c r="S243" s="237"/>
      <c r="T243" s="237"/>
      <c r="U243" s="236" cm="1">
        <f t="array" ref="U243">SUMPRODUCT((AUG!M_Verweiszeile=$H243)*AUG!M_ProdTag*(AUG!M_Monat=$E243))</f>
        <v>0</v>
      </c>
      <c r="V243" s="236" cm="1">
        <f t="array" ref="V243">SUMPRODUCT((AUG!M_Verweiszeile=$H243)*AUG!M_ProdN1*(AUG!M_Monat=$E243))</f>
        <v>0</v>
      </c>
      <c r="W243" s="236" cm="1">
        <f t="array" ref="W243">SUMPRODUCT((AUG!M_Verweiszeile=$H243)*AUG!M_ProdN2*(AUG!M_Monat=$E243))</f>
        <v>0</v>
      </c>
      <c r="X243" s="236">
        <f t="shared" si="63"/>
        <v>0</v>
      </c>
      <c r="Y243" s="236">
        <f t="shared" si="53"/>
        <v>0</v>
      </c>
      <c r="Z243" s="236">
        <f t="shared" si="54"/>
        <v>0</v>
      </c>
      <c r="AA243" s="236">
        <f t="shared" si="64"/>
        <v>0</v>
      </c>
      <c r="AB243" s="236">
        <f t="shared" si="65"/>
        <v>0</v>
      </c>
      <c r="AC243" s="236">
        <f t="shared" si="66"/>
        <v>0</v>
      </c>
    </row>
    <row r="244" spans="3:29" s="189" customFormat="1" x14ac:dyDescent="0.2">
      <c r="C244" s="129">
        <v>235</v>
      </c>
      <c r="D244" s="190">
        <f t="shared" si="67"/>
        <v>45526</v>
      </c>
      <c r="E244" s="129">
        <f t="shared" si="55"/>
        <v>8</v>
      </c>
      <c r="F244" s="191">
        <f t="shared" si="56"/>
        <v>45526</v>
      </c>
      <c r="G244" s="129">
        <f t="shared" si="57"/>
        <v>34</v>
      </c>
      <c r="H244" s="129">
        <f t="shared" si="58"/>
        <v>22</v>
      </c>
      <c r="I244" s="129">
        <f t="shared" si="59"/>
        <v>4</v>
      </c>
      <c r="J244" s="192">
        <f t="shared" si="60"/>
        <v>45526</v>
      </c>
      <c r="K244" s="129" t="str" cm="1">
        <f t="array" ref="K244">IF(AND(I244&lt;7,INDEX(B_tblFTMatrix,$E244,$H244)="x"),"ft","")</f>
        <v/>
      </c>
      <c r="L244" s="129"/>
      <c r="M244" s="129"/>
      <c r="N244" s="129">
        <f t="shared" si="51"/>
        <v>1</v>
      </c>
      <c r="O244" s="129">
        <f t="shared" si="61"/>
        <v>1</v>
      </c>
      <c r="P244" s="231">
        <f t="shared" si="52"/>
        <v>8</v>
      </c>
      <c r="Q244" s="233" cm="1">
        <f t="array" ref="Q244">SUMPRODUCT((H_tblBGTage=I244)*(H_tblBGMnt=E244)*H_tblBG%)</f>
        <v>1</v>
      </c>
      <c r="R244" s="231">
        <f t="shared" si="62"/>
        <v>8</v>
      </c>
      <c r="S244" s="237"/>
      <c r="T244" s="237"/>
      <c r="U244" s="236" cm="1">
        <f t="array" ref="U244">SUMPRODUCT((AUG!M_Verweiszeile=$H244)*AUG!M_ProdTag*(AUG!M_Monat=$E244))</f>
        <v>0</v>
      </c>
      <c r="V244" s="236" cm="1">
        <f t="array" ref="V244">SUMPRODUCT((AUG!M_Verweiszeile=$H244)*AUG!M_ProdN1*(AUG!M_Monat=$E244))</f>
        <v>0</v>
      </c>
      <c r="W244" s="236" cm="1">
        <f t="array" ref="W244">SUMPRODUCT((AUG!M_Verweiszeile=$H244)*AUG!M_ProdN2*(AUG!M_Monat=$E244))</f>
        <v>0</v>
      </c>
      <c r="X244" s="236">
        <f t="shared" si="63"/>
        <v>0</v>
      </c>
      <c r="Y244" s="236">
        <f t="shared" si="53"/>
        <v>0</v>
      </c>
      <c r="Z244" s="236">
        <f t="shared" si="54"/>
        <v>0</v>
      </c>
      <c r="AA244" s="236">
        <f t="shared" si="64"/>
        <v>0</v>
      </c>
      <c r="AB244" s="236">
        <f t="shared" si="65"/>
        <v>0</v>
      </c>
      <c r="AC244" s="236">
        <f t="shared" si="66"/>
        <v>0</v>
      </c>
    </row>
    <row r="245" spans="3:29" s="189" customFormat="1" x14ac:dyDescent="0.2">
      <c r="C245" s="129">
        <v>236</v>
      </c>
      <c r="D245" s="190">
        <f t="shared" si="67"/>
        <v>45527</v>
      </c>
      <c r="E245" s="129">
        <f t="shared" si="55"/>
        <v>8</v>
      </c>
      <c r="F245" s="191">
        <f t="shared" si="56"/>
        <v>45527</v>
      </c>
      <c r="G245" s="129">
        <f t="shared" si="57"/>
        <v>34</v>
      </c>
      <c r="H245" s="129">
        <f t="shared" si="58"/>
        <v>23</v>
      </c>
      <c r="I245" s="129">
        <f t="shared" si="59"/>
        <v>5</v>
      </c>
      <c r="J245" s="192">
        <f t="shared" si="60"/>
        <v>45527</v>
      </c>
      <c r="K245" s="129" t="str" cm="1">
        <f t="array" ref="K245">IF(AND(I245&lt;7,INDEX(B_tblFTMatrix,$E245,$H245)="x"),"ft","")</f>
        <v/>
      </c>
      <c r="L245" s="129"/>
      <c r="M245" s="129"/>
      <c r="N245" s="129">
        <f t="shared" si="51"/>
        <v>1</v>
      </c>
      <c r="O245" s="129">
        <f t="shared" si="61"/>
        <v>1</v>
      </c>
      <c r="P245" s="231">
        <f t="shared" si="52"/>
        <v>8</v>
      </c>
      <c r="Q245" s="233" cm="1">
        <f t="array" ref="Q245">SUMPRODUCT((H_tblBGTage=I245)*(H_tblBGMnt=E245)*H_tblBG%)</f>
        <v>1</v>
      </c>
      <c r="R245" s="231">
        <f t="shared" si="62"/>
        <v>8</v>
      </c>
      <c r="S245" s="237"/>
      <c r="T245" s="237"/>
      <c r="U245" s="236" cm="1">
        <f t="array" ref="U245">SUMPRODUCT((AUG!M_Verweiszeile=$H245)*AUG!M_ProdTag*(AUG!M_Monat=$E245))</f>
        <v>0</v>
      </c>
      <c r="V245" s="236" cm="1">
        <f t="array" ref="V245">SUMPRODUCT((AUG!M_Verweiszeile=$H245)*AUG!M_ProdN1*(AUG!M_Monat=$E245))</f>
        <v>0</v>
      </c>
      <c r="W245" s="236" cm="1">
        <f t="array" ref="W245">SUMPRODUCT((AUG!M_Verweiszeile=$H245)*AUG!M_ProdN2*(AUG!M_Monat=$E245))</f>
        <v>0</v>
      </c>
      <c r="X245" s="236">
        <f t="shared" si="63"/>
        <v>0</v>
      </c>
      <c r="Y245" s="236">
        <f t="shared" si="53"/>
        <v>0</v>
      </c>
      <c r="Z245" s="236">
        <f t="shared" si="54"/>
        <v>0</v>
      </c>
      <c r="AA245" s="236">
        <f t="shared" si="64"/>
        <v>0</v>
      </c>
      <c r="AB245" s="236">
        <f t="shared" si="65"/>
        <v>0</v>
      </c>
      <c r="AC245" s="236">
        <f t="shared" si="66"/>
        <v>0</v>
      </c>
    </row>
    <row r="246" spans="3:29" s="189" customFormat="1" x14ac:dyDescent="0.2">
      <c r="C246" s="129">
        <v>237</v>
      </c>
      <c r="D246" s="190">
        <f t="shared" si="67"/>
        <v>45528</v>
      </c>
      <c r="E246" s="129">
        <f t="shared" si="55"/>
        <v>8</v>
      </c>
      <c r="F246" s="191">
        <f t="shared" si="56"/>
        <v>45528</v>
      </c>
      <c r="G246" s="129">
        <f t="shared" si="57"/>
        <v>34</v>
      </c>
      <c r="H246" s="129">
        <f t="shared" si="58"/>
        <v>24</v>
      </c>
      <c r="I246" s="129">
        <f t="shared" si="59"/>
        <v>6</v>
      </c>
      <c r="J246" s="192">
        <f t="shared" si="60"/>
        <v>45528</v>
      </c>
      <c r="K246" s="129" t="str" cm="1">
        <f t="array" ref="K246">IF(AND(I246&lt;7,INDEX(B_tblFTMatrix,$E246,$H246)="x"),"ft","")</f>
        <v/>
      </c>
      <c r="L246" s="129"/>
      <c r="M246" s="129"/>
      <c r="N246" s="129">
        <f t="shared" si="51"/>
        <v>0</v>
      </c>
      <c r="O246" s="129">
        <f t="shared" si="61"/>
        <v>0</v>
      </c>
      <c r="P246" s="231">
        <f t="shared" si="52"/>
        <v>0</v>
      </c>
      <c r="Q246" s="233" cm="1">
        <f t="array" ref="Q246">SUMPRODUCT((H_tblBGTage=I246)*(H_tblBGMnt=E246)*H_tblBG%)</f>
        <v>0</v>
      </c>
      <c r="R246" s="231">
        <f t="shared" si="62"/>
        <v>0</v>
      </c>
      <c r="S246" s="237"/>
      <c r="T246" s="237"/>
      <c r="U246" s="236" cm="1">
        <f t="array" ref="U246">SUMPRODUCT((AUG!M_Verweiszeile=$H246)*AUG!M_ProdTag*(AUG!M_Monat=$E246))</f>
        <v>0</v>
      </c>
      <c r="V246" s="236" cm="1">
        <f t="array" ref="V246">SUMPRODUCT((AUG!M_Verweiszeile=$H246)*AUG!M_ProdN1*(AUG!M_Monat=$E246))</f>
        <v>0</v>
      </c>
      <c r="W246" s="236" cm="1">
        <f t="array" ref="W246">SUMPRODUCT((AUG!M_Verweiszeile=$H246)*AUG!M_ProdN2*(AUG!M_Monat=$E246))</f>
        <v>0</v>
      </c>
      <c r="X246" s="236">
        <f t="shared" si="63"/>
        <v>0</v>
      </c>
      <c r="Y246" s="236">
        <f t="shared" si="53"/>
        <v>0</v>
      </c>
      <c r="Z246" s="236">
        <f t="shared" si="54"/>
        <v>0</v>
      </c>
      <c r="AA246" s="236">
        <f t="shared" si="64"/>
        <v>0</v>
      </c>
      <c r="AB246" s="236">
        <f t="shared" si="65"/>
        <v>0</v>
      </c>
      <c r="AC246" s="236">
        <f t="shared" si="66"/>
        <v>0</v>
      </c>
    </row>
    <row r="247" spans="3:29" s="189" customFormat="1" x14ac:dyDescent="0.2">
      <c r="C247" s="129">
        <v>238</v>
      </c>
      <c r="D247" s="190">
        <f t="shared" si="67"/>
        <v>45529</v>
      </c>
      <c r="E247" s="129">
        <f t="shared" si="55"/>
        <v>8</v>
      </c>
      <c r="F247" s="191">
        <f t="shared" si="56"/>
        <v>45529</v>
      </c>
      <c r="G247" s="129">
        <f t="shared" si="57"/>
        <v>34</v>
      </c>
      <c r="H247" s="129">
        <f t="shared" si="58"/>
        <v>25</v>
      </c>
      <c r="I247" s="129">
        <f t="shared" si="59"/>
        <v>7</v>
      </c>
      <c r="J247" s="192">
        <f t="shared" si="60"/>
        <v>45529</v>
      </c>
      <c r="K247" s="129" t="str" cm="1">
        <f t="array" ref="K247">IF(AND(I247&lt;7,INDEX(B_tblFTMatrix,$E247,$H247)="x"),"ft","")</f>
        <v/>
      </c>
      <c r="L247" s="129"/>
      <c r="M247" s="129"/>
      <c r="N247" s="129">
        <f t="shared" si="51"/>
        <v>0</v>
      </c>
      <c r="O247" s="129">
        <f t="shared" si="61"/>
        <v>0</v>
      </c>
      <c r="P247" s="231">
        <f t="shared" si="52"/>
        <v>0</v>
      </c>
      <c r="Q247" s="233" cm="1">
        <f t="array" ref="Q247">SUMPRODUCT((H_tblBGTage=I247)*(H_tblBGMnt=E247)*H_tblBG%)</f>
        <v>0</v>
      </c>
      <c r="R247" s="231">
        <f t="shared" si="62"/>
        <v>0</v>
      </c>
      <c r="S247" s="237"/>
      <c r="T247" s="237"/>
      <c r="U247" s="236" cm="1">
        <f t="array" ref="U247">SUMPRODUCT((AUG!M_Verweiszeile=$H247)*AUG!M_ProdTag*(AUG!M_Monat=$E247))</f>
        <v>0</v>
      </c>
      <c r="V247" s="236" cm="1">
        <f t="array" ref="V247">SUMPRODUCT((AUG!M_Verweiszeile=$H247)*AUG!M_ProdN1*(AUG!M_Monat=$E247))</f>
        <v>0</v>
      </c>
      <c r="W247" s="236" cm="1">
        <f t="array" ref="W247">SUMPRODUCT((AUG!M_Verweiszeile=$H247)*AUG!M_ProdN2*(AUG!M_Monat=$E247))</f>
        <v>0</v>
      </c>
      <c r="X247" s="236">
        <f t="shared" si="63"/>
        <v>0</v>
      </c>
      <c r="Y247" s="236">
        <f t="shared" si="53"/>
        <v>0</v>
      </c>
      <c r="Z247" s="236">
        <f t="shared" si="54"/>
        <v>0</v>
      </c>
      <c r="AA247" s="236">
        <f t="shared" si="64"/>
        <v>0</v>
      </c>
      <c r="AB247" s="236">
        <f t="shared" si="65"/>
        <v>0</v>
      </c>
      <c r="AC247" s="236">
        <f t="shared" si="66"/>
        <v>0</v>
      </c>
    </row>
    <row r="248" spans="3:29" s="189" customFormat="1" x14ac:dyDescent="0.2">
      <c r="C248" s="129">
        <v>239</v>
      </c>
      <c r="D248" s="190">
        <f t="shared" si="67"/>
        <v>45530</v>
      </c>
      <c r="E248" s="129">
        <f t="shared" si="55"/>
        <v>8</v>
      </c>
      <c r="F248" s="191">
        <f t="shared" si="56"/>
        <v>45530</v>
      </c>
      <c r="G248" s="129">
        <f t="shared" si="57"/>
        <v>35</v>
      </c>
      <c r="H248" s="129">
        <f t="shared" si="58"/>
        <v>26</v>
      </c>
      <c r="I248" s="129">
        <f t="shared" si="59"/>
        <v>1</v>
      </c>
      <c r="J248" s="192">
        <f t="shared" si="60"/>
        <v>45530</v>
      </c>
      <c r="K248" s="129" t="str" cm="1">
        <f t="array" ref="K248">IF(AND(I248&lt;7,INDEX(B_tblFTMatrix,$E248,$H248)="x"),"ft","")</f>
        <v/>
      </c>
      <c r="L248" s="129"/>
      <c r="M248" s="129"/>
      <c r="N248" s="129">
        <f t="shared" si="51"/>
        <v>1</v>
      </c>
      <c r="O248" s="129">
        <f t="shared" si="61"/>
        <v>1</v>
      </c>
      <c r="P248" s="231">
        <f t="shared" si="52"/>
        <v>8</v>
      </c>
      <c r="Q248" s="233" cm="1">
        <f t="array" ref="Q248">SUMPRODUCT((H_tblBGTage=I248)*(H_tblBGMnt=E248)*H_tblBG%)</f>
        <v>1</v>
      </c>
      <c r="R248" s="231">
        <f t="shared" si="62"/>
        <v>8</v>
      </c>
      <c r="S248" s="237"/>
      <c r="T248" s="237"/>
      <c r="U248" s="236" cm="1">
        <f t="array" ref="U248">SUMPRODUCT((AUG!M_Verweiszeile=$H248)*AUG!M_ProdTag*(AUG!M_Monat=$E248))</f>
        <v>0</v>
      </c>
      <c r="V248" s="236" cm="1">
        <f t="array" ref="V248">SUMPRODUCT((AUG!M_Verweiszeile=$H248)*AUG!M_ProdN1*(AUG!M_Monat=$E248))</f>
        <v>0</v>
      </c>
      <c r="W248" s="236" cm="1">
        <f t="array" ref="W248">SUMPRODUCT((AUG!M_Verweiszeile=$H248)*AUG!M_ProdN2*(AUG!M_Monat=$E248))</f>
        <v>0</v>
      </c>
      <c r="X248" s="236">
        <f t="shared" si="63"/>
        <v>0</v>
      </c>
      <c r="Y248" s="236">
        <f t="shared" si="53"/>
        <v>0</v>
      </c>
      <c r="Z248" s="236">
        <f t="shared" si="54"/>
        <v>0</v>
      </c>
      <c r="AA248" s="236">
        <f t="shared" si="64"/>
        <v>0</v>
      </c>
      <c r="AB248" s="236">
        <f t="shared" si="65"/>
        <v>0</v>
      </c>
      <c r="AC248" s="236">
        <f t="shared" si="66"/>
        <v>0</v>
      </c>
    </row>
    <row r="249" spans="3:29" s="189" customFormat="1" x14ac:dyDescent="0.2">
      <c r="C249" s="129">
        <v>240</v>
      </c>
      <c r="D249" s="190">
        <f t="shared" si="67"/>
        <v>45531</v>
      </c>
      <c r="E249" s="129">
        <f t="shared" si="55"/>
        <v>8</v>
      </c>
      <c r="F249" s="191">
        <f t="shared" si="56"/>
        <v>45531</v>
      </c>
      <c r="G249" s="129">
        <f t="shared" si="57"/>
        <v>35</v>
      </c>
      <c r="H249" s="129">
        <f t="shared" si="58"/>
        <v>27</v>
      </c>
      <c r="I249" s="129">
        <f t="shared" si="59"/>
        <v>2</v>
      </c>
      <c r="J249" s="192">
        <f t="shared" si="60"/>
        <v>45531</v>
      </c>
      <c r="K249" s="129" t="str" cm="1">
        <f t="array" ref="K249">IF(AND(I249&lt;7,INDEX(B_tblFTMatrix,$E249,$H249)="x"),"ft","")</f>
        <v/>
      </c>
      <c r="L249" s="129"/>
      <c r="M249" s="129"/>
      <c r="N249" s="129">
        <f t="shared" si="51"/>
        <v>1</v>
      </c>
      <c r="O249" s="129">
        <f t="shared" si="61"/>
        <v>1</v>
      </c>
      <c r="P249" s="231">
        <f t="shared" si="52"/>
        <v>8</v>
      </c>
      <c r="Q249" s="233" cm="1">
        <f t="array" ref="Q249">SUMPRODUCT((H_tblBGTage=I249)*(H_tblBGMnt=E249)*H_tblBG%)</f>
        <v>1</v>
      </c>
      <c r="R249" s="231">
        <f t="shared" si="62"/>
        <v>8</v>
      </c>
      <c r="S249" s="237"/>
      <c r="T249" s="237"/>
      <c r="U249" s="236" cm="1">
        <f t="array" ref="U249">SUMPRODUCT((AUG!M_Verweiszeile=$H249)*AUG!M_ProdTag*(AUG!M_Monat=$E249))</f>
        <v>0</v>
      </c>
      <c r="V249" s="236" cm="1">
        <f t="array" ref="V249">SUMPRODUCT((AUG!M_Verweiszeile=$H249)*AUG!M_ProdN1*(AUG!M_Monat=$E249))</f>
        <v>0</v>
      </c>
      <c r="W249" s="236" cm="1">
        <f t="array" ref="W249">SUMPRODUCT((AUG!M_Verweiszeile=$H249)*AUG!M_ProdN2*(AUG!M_Monat=$E249))</f>
        <v>0</v>
      </c>
      <c r="X249" s="236">
        <f t="shared" si="63"/>
        <v>0</v>
      </c>
      <c r="Y249" s="236">
        <f t="shared" si="53"/>
        <v>0</v>
      </c>
      <c r="Z249" s="236">
        <f t="shared" si="54"/>
        <v>0</v>
      </c>
      <c r="AA249" s="236">
        <f t="shared" si="64"/>
        <v>0</v>
      </c>
      <c r="AB249" s="236">
        <f t="shared" si="65"/>
        <v>0</v>
      </c>
      <c r="AC249" s="236">
        <f t="shared" si="66"/>
        <v>0</v>
      </c>
    </row>
    <row r="250" spans="3:29" s="189" customFormat="1" x14ac:dyDescent="0.2">
      <c r="C250" s="129">
        <v>241</v>
      </c>
      <c r="D250" s="190">
        <f t="shared" si="67"/>
        <v>45532</v>
      </c>
      <c r="E250" s="129">
        <f t="shared" si="55"/>
        <v>8</v>
      </c>
      <c r="F250" s="191">
        <f t="shared" si="56"/>
        <v>45532</v>
      </c>
      <c r="G250" s="129">
        <f t="shared" si="57"/>
        <v>35</v>
      </c>
      <c r="H250" s="129">
        <f t="shared" si="58"/>
        <v>28</v>
      </c>
      <c r="I250" s="129">
        <f t="shared" si="59"/>
        <v>3</v>
      </c>
      <c r="J250" s="192">
        <f t="shared" si="60"/>
        <v>45532</v>
      </c>
      <c r="K250" s="129" t="str" cm="1">
        <f t="array" ref="K250">IF(AND(I250&lt;7,INDEX(B_tblFTMatrix,$E250,$H250)="x"),"ft","")</f>
        <v/>
      </c>
      <c r="L250" s="129"/>
      <c r="M250" s="129"/>
      <c r="N250" s="129">
        <f t="shared" si="51"/>
        <v>1</v>
      </c>
      <c r="O250" s="129">
        <f t="shared" si="61"/>
        <v>1</v>
      </c>
      <c r="P250" s="231">
        <f t="shared" si="52"/>
        <v>8</v>
      </c>
      <c r="Q250" s="233" cm="1">
        <f t="array" ref="Q250">SUMPRODUCT((H_tblBGTage=I250)*(H_tblBGMnt=E250)*H_tblBG%)</f>
        <v>1</v>
      </c>
      <c r="R250" s="231">
        <f t="shared" si="62"/>
        <v>8</v>
      </c>
      <c r="S250" s="237"/>
      <c r="T250" s="237"/>
      <c r="U250" s="236" cm="1">
        <f t="array" ref="U250">SUMPRODUCT((AUG!M_Verweiszeile=$H250)*AUG!M_ProdTag*(AUG!M_Monat=$E250))</f>
        <v>0</v>
      </c>
      <c r="V250" s="236" cm="1">
        <f t="array" ref="V250">SUMPRODUCT((AUG!M_Verweiszeile=$H250)*AUG!M_ProdN1*(AUG!M_Monat=$E250))</f>
        <v>0</v>
      </c>
      <c r="W250" s="236" cm="1">
        <f t="array" ref="W250">SUMPRODUCT((AUG!M_Verweiszeile=$H250)*AUG!M_ProdN2*(AUG!M_Monat=$E250))</f>
        <v>0</v>
      </c>
      <c r="X250" s="236">
        <f t="shared" si="63"/>
        <v>0</v>
      </c>
      <c r="Y250" s="236">
        <f t="shared" si="53"/>
        <v>0</v>
      </c>
      <c r="Z250" s="236">
        <f t="shared" si="54"/>
        <v>0</v>
      </c>
      <c r="AA250" s="236">
        <f t="shared" si="64"/>
        <v>0</v>
      </c>
      <c r="AB250" s="236">
        <f t="shared" si="65"/>
        <v>0</v>
      </c>
      <c r="AC250" s="236">
        <f t="shared" si="66"/>
        <v>0</v>
      </c>
    </row>
    <row r="251" spans="3:29" s="189" customFormat="1" x14ac:dyDescent="0.2">
      <c r="C251" s="129">
        <v>242</v>
      </c>
      <c r="D251" s="190">
        <f t="shared" si="67"/>
        <v>45533</v>
      </c>
      <c r="E251" s="129">
        <f t="shared" si="55"/>
        <v>8</v>
      </c>
      <c r="F251" s="191">
        <f t="shared" si="56"/>
        <v>45533</v>
      </c>
      <c r="G251" s="129">
        <f t="shared" si="57"/>
        <v>35</v>
      </c>
      <c r="H251" s="129">
        <f t="shared" si="58"/>
        <v>29</v>
      </c>
      <c r="I251" s="129">
        <f t="shared" si="59"/>
        <v>4</v>
      </c>
      <c r="J251" s="192">
        <f t="shared" si="60"/>
        <v>45533</v>
      </c>
      <c r="K251" s="129" t="str" cm="1">
        <f t="array" ref="K251">IF(AND(I251&lt;7,INDEX(B_tblFTMatrix,$E251,$H251)="x"),"ft","")</f>
        <v/>
      </c>
      <c r="L251" s="129"/>
      <c r="M251" s="129"/>
      <c r="N251" s="129">
        <f t="shared" si="51"/>
        <v>1</v>
      </c>
      <c r="O251" s="129">
        <f t="shared" si="61"/>
        <v>1</v>
      </c>
      <c r="P251" s="231">
        <f t="shared" si="52"/>
        <v>8</v>
      </c>
      <c r="Q251" s="233" cm="1">
        <f t="array" ref="Q251">SUMPRODUCT((H_tblBGTage=I251)*(H_tblBGMnt=E251)*H_tblBG%)</f>
        <v>1</v>
      </c>
      <c r="R251" s="231">
        <f t="shared" si="62"/>
        <v>8</v>
      </c>
      <c r="S251" s="237"/>
      <c r="T251" s="237"/>
      <c r="U251" s="236" cm="1">
        <f t="array" ref="U251">SUMPRODUCT((AUG!M_Verweiszeile=$H251)*AUG!M_ProdTag*(AUG!M_Monat=$E251))</f>
        <v>0</v>
      </c>
      <c r="V251" s="236" cm="1">
        <f t="array" ref="V251">SUMPRODUCT((AUG!M_Verweiszeile=$H251)*AUG!M_ProdN1*(AUG!M_Monat=$E251))</f>
        <v>0</v>
      </c>
      <c r="W251" s="236" cm="1">
        <f t="array" ref="W251">SUMPRODUCT((AUG!M_Verweiszeile=$H251)*AUG!M_ProdN2*(AUG!M_Monat=$E251))</f>
        <v>0</v>
      </c>
      <c r="X251" s="236">
        <f t="shared" si="63"/>
        <v>0</v>
      </c>
      <c r="Y251" s="236">
        <f t="shared" si="53"/>
        <v>0</v>
      </c>
      <c r="Z251" s="236">
        <f t="shared" si="54"/>
        <v>0</v>
      </c>
      <c r="AA251" s="236">
        <f t="shared" si="64"/>
        <v>0</v>
      </c>
      <c r="AB251" s="236">
        <f t="shared" si="65"/>
        <v>0</v>
      </c>
      <c r="AC251" s="236">
        <f t="shared" si="66"/>
        <v>0</v>
      </c>
    </row>
    <row r="252" spans="3:29" s="189" customFormat="1" x14ac:dyDescent="0.2">
      <c r="C252" s="129">
        <v>243</v>
      </c>
      <c r="D252" s="190">
        <f t="shared" si="67"/>
        <v>45534</v>
      </c>
      <c r="E252" s="129">
        <f t="shared" si="55"/>
        <v>8</v>
      </c>
      <c r="F252" s="191">
        <f t="shared" si="56"/>
        <v>45534</v>
      </c>
      <c r="G252" s="129">
        <f t="shared" si="57"/>
        <v>35</v>
      </c>
      <c r="H252" s="129">
        <f t="shared" si="58"/>
        <v>30</v>
      </c>
      <c r="I252" s="129">
        <f t="shared" si="59"/>
        <v>5</v>
      </c>
      <c r="J252" s="192">
        <f t="shared" si="60"/>
        <v>45534</v>
      </c>
      <c r="K252" s="129" t="str" cm="1">
        <f t="array" ref="K252">IF(AND(I252&lt;7,INDEX(B_tblFTMatrix,$E252,$H252)="x"),"ft","")</f>
        <v/>
      </c>
      <c r="L252" s="129"/>
      <c r="M252" s="129"/>
      <c r="N252" s="129">
        <f t="shared" si="51"/>
        <v>1</v>
      </c>
      <c r="O252" s="129">
        <f t="shared" si="61"/>
        <v>1</v>
      </c>
      <c r="P252" s="231">
        <f t="shared" si="52"/>
        <v>8</v>
      </c>
      <c r="Q252" s="233" cm="1">
        <f t="array" ref="Q252">SUMPRODUCT((H_tblBGTage=I252)*(H_tblBGMnt=E252)*H_tblBG%)</f>
        <v>1</v>
      </c>
      <c r="R252" s="231">
        <f t="shared" si="62"/>
        <v>8</v>
      </c>
      <c r="S252" s="237"/>
      <c r="T252" s="237"/>
      <c r="U252" s="236" cm="1">
        <f t="array" ref="U252">SUMPRODUCT((AUG!M_Verweiszeile=$H252)*AUG!M_ProdTag*(AUG!M_Monat=$E252))</f>
        <v>0</v>
      </c>
      <c r="V252" s="236" cm="1">
        <f t="array" ref="V252">SUMPRODUCT((AUG!M_Verweiszeile=$H252)*AUG!M_ProdN1*(AUG!M_Monat=$E252))</f>
        <v>0</v>
      </c>
      <c r="W252" s="236" cm="1">
        <f t="array" ref="W252">SUMPRODUCT((AUG!M_Verweiszeile=$H252)*AUG!M_ProdN2*(AUG!M_Monat=$E252))</f>
        <v>0</v>
      </c>
      <c r="X252" s="236">
        <f t="shared" si="63"/>
        <v>0</v>
      </c>
      <c r="Y252" s="236">
        <f t="shared" si="53"/>
        <v>0</v>
      </c>
      <c r="Z252" s="236">
        <f t="shared" si="54"/>
        <v>0</v>
      </c>
      <c r="AA252" s="236">
        <f t="shared" si="64"/>
        <v>0</v>
      </c>
      <c r="AB252" s="236">
        <f t="shared" si="65"/>
        <v>0</v>
      </c>
      <c r="AC252" s="236">
        <f t="shared" si="66"/>
        <v>0</v>
      </c>
    </row>
    <row r="253" spans="3:29" s="189" customFormat="1" x14ac:dyDescent="0.2">
      <c r="C253" s="129">
        <v>244</v>
      </c>
      <c r="D253" s="190">
        <f t="shared" si="67"/>
        <v>45535</v>
      </c>
      <c r="E253" s="129">
        <f t="shared" si="55"/>
        <v>8</v>
      </c>
      <c r="F253" s="191">
        <f t="shared" si="56"/>
        <v>45535</v>
      </c>
      <c r="G253" s="129">
        <f t="shared" si="57"/>
        <v>35</v>
      </c>
      <c r="H253" s="129">
        <f t="shared" si="58"/>
        <v>31</v>
      </c>
      <c r="I253" s="129">
        <f t="shared" si="59"/>
        <v>6</v>
      </c>
      <c r="J253" s="192">
        <f t="shared" si="60"/>
        <v>45535</v>
      </c>
      <c r="K253" s="129" t="str" cm="1">
        <f t="array" ref="K253">IF(AND(I253&lt;7,INDEX(B_tblFTMatrix,$E253,$H253)="x"),"ft","")</f>
        <v/>
      </c>
      <c r="L253" s="129"/>
      <c r="M253" s="129"/>
      <c r="N253" s="129">
        <f t="shared" si="51"/>
        <v>0</v>
      </c>
      <c r="O253" s="129">
        <f t="shared" si="61"/>
        <v>0</v>
      </c>
      <c r="P253" s="231">
        <f t="shared" si="52"/>
        <v>0</v>
      </c>
      <c r="Q253" s="233" cm="1">
        <f t="array" ref="Q253">SUMPRODUCT((H_tblBGTage=I253)*(H_tblBGMnt=E253)*H_tblBG%)</f>
        <v>0</v>
      </c>
      <c r="R253" s="231">
        <f t="shared" si="62"/>
        <v>0</v>
      </c>
      <c r="S253" s="237"/>
      <c r="T253" s="237"/>
      <c r="U253" s="319" cm="1">
        <f t="array" ref="U253">SUMPRODUCT((AUG!M_Verweiszeile=$H253)*AUG!M_ProdTag*(AUG!M_Monat=$E253))+SUMPRODUCT((SEP!M_Verweiszeile=$H253)*SEP!M_ProdTag*(SEP!M_Monat=$E253))</f>
        <v>0</v>
      </c>
      <c r="V253" s="236" cm="1">
        <f t="array" ref="V253">SUMPRODUCT((AUG!M_Verweiszeile=$H253)*AUG!M_ProdN1*(AUG!M_Monat=$E253))+SUMPRODUCT((SEP!M_Verweiszeile=$H253)*SEP!M_ProdN1*(SEP!M_Monat=$E253))</f>
        <v>0</v>
      </c>
      <c r="W253" s="236" cm="1">
        <f t="array" ref="W253">SUMPRODUCT((AUG!M_Verweiszeile=$H253)*AUG!M_ProdN2*(AUG!M_Monat=$E253))+SUMPRODUCT((SEP!M_Verweiszeile=$H253)*SEP!M_ProdN2*(SEP!M_Monat=$E253))</f>
        <v>0</v>
      </c>
      <c r="X253" s="236">
        <f t="shared" si="63"/>
        <v>0</v>
      </c>
      <c r="Y253" s="236">
        <f t="shared" si="53"/>
        <v>0</v>
      </c>
      <c r="Z253" s="236">
        <f t="shared" si="54"/>
        <v>0</v>
      </c>
      <c r="AA253" s="236">
        <f t="shared" si="64"/>
        <v>0</v>
      </c>
      <c r="AB253" s="236">
        <f t="shared" si="65"/>
        <v>0</v>
      </c>
      <c r="AC253" s="236">
        <f t="shared" si="66"/>
        <v>0</v>
      </c>
    </row>
    <row r="254" spans="3:29" s="189" customFormat="1" x14ac:dyDescent="0.2">
      <c r="C254" s="129">
        <v>245</v>
      </c>
      <c r="D254" s="190">
        <f t="shared" si="67"/>
        <v>45536</v>
      </c>
      <c r="E254" s="129">
        <f t="shared" si="55"/>
        <v>9</v>
      </c>
      <c r="F254" s="191">
        <f t="shared" si="56"/>
        <v>45536</v>
      </c>
      <c r="G254" s="129">
        <f t="shared" si="57"/>
        <v>35</v>
      </c>
      <c r="H254" s="129">
        <f t="shared" si="58"/>
        <v>1</v>
      </c>
      <c r="I254" s="129">
        <f t="shared" si="59"/>
        <v>7</v>
      </c>
      <c r="J254" s="192">
        <f t="shared" si="60"/>
        <v>45536</v>
      </c>
      <c r="K254" s="129" t="str" cm="1">
        <f t="array" ref="K254">IF(AND(I254&lt;7,INDEX(B_tblFTMatrix,$E254,$H254)="x"),"ft","")</f>
        <v/>
      </c>
      <c r="L254" s="129"/>
      <c r="M254" s="129"/>
      <c r="N254" s="129">
        <f t="shared" si="51"/>
        <v>0</v>
      </c>
      <c r="O254" s="129">
        <f t="shared" si="61"/>
        <v>0</v>
      </c>
      <c r="P254" s="231">
        <f t="shared" si="52"/>
        <v>0</v>
      </c>
      <c r="Q254" s="233" cm="1">
        <f t="array" ref="Q254">SUMPRODUCT((H_tblBGTage=I254)*(H_tblBGMnt=E254)*H_tblBG%)</f>
        <v>0</v>
      </c>
      <c r="R254" s="231">
        <f t="shared" si="62"/>
        <v>0</v>
      </c>
      <c r="S254" s="237"/>
      <c r="T254" s="237"/>
      <c r="U254" s="319" cm="1">
        <f t="array" ref="U254">SUMPRODUCT((SEP!M_Verweiszeile=$H254)*SEP!M_ProdTag*(SEP!M_Monat=$E254))</f>
        <v>0</v>
      </c>
      <c r="V254" s="236" cm="1">
        <f t="array" ref="V254">SUMPRODUCT((SEP!M_Verweiszeile=$H254)*SEP!M_ProdN1*(SEP!M_Monat=$E254))</f>
        <v>0</v>
      </c>
      <c r="W254" s="236" cm="1">
        <f t="array" ref="W254">SUMPRODUCT((SEP!M_Verweiszeile=$H254)*SEP!M_ProdN2*(SEP!M_Monat=$E254))</f>
        <v>0</v>
      </c>
      <c r="X254" s="236">
        <f t="shared" si="63"/>
        <v>0</v>
      </c>
      <c r="Y254" s="236">
        <f t="shared" si="53"/>
        <v>0</v>
      </c>
      <c r="Z254" s="236">
        <f t="shared" si="54"/>
        <v>0</v>
      </c>
      <c r="AA254" s="236">
        <f t="shared" si="64"/>
        <v>0</v>
      </c>
      <c r="AB254" s="236">
        <f t="shared" si="65"/>
        <v>0</v>
      </c>
      <c r="AC254" s="236">
        <f t="shared" si="66"/>
        <v>0</v>
      </c>
    </row>
    <row r="255" spans="3:29" s="189" customFormat="1" x14ac:dyDescent="0.2">
      <c r="C255" s="129">
        <v>246</v>
      </c>
      <c r="D255" s="190">
        <f t="shared" si="67"/>
        <v>45537</v>
      </c>
      <c r="E255" s="129">
        <f t="shared" si="55"/>
        <v>9</v>
      </c>
      <c r="F255" s="191">
        <f t="shared" si="56"/>
        <v>45537</v>
      </c>
      <c r="G255" s="129">
        <f t="shared" si="57"/>
        <v>36</v>
      </c>
      <c r="H255" s="129">
        <f t="shared" si="58"/>
        <v>2</v>
      </c>
      <c r="I255" s="129">
        <f t="shared" si="59"/>
        <v>1</v>
      </c>
      <c r="J255" s="192">
        <f t="shared" si="60"/>
        <v>45537</v>
      </c>
      <c r="K255" s="129" t="str" cm="1">
        <f t="array" ref="K255">IF(AND(I255&lt;7,INDEX(B_tblFTMatrix,$E255,$H255)="x"),"ft","")</f>
        <v/>
      </c>
      <c r="L255" s="129"/>
      <c r="M255" s="129"/>
      <c r="N255" s="129">
        <f t="shared" si="51"/>
        <v>1</v>
      </c>
      <c r="O255" s="129">
        <f t="shared" si="61"/>
        <v>1</v>
      </c>
      <c r="P255" s="231">
        <f t="shared" si="52"/>
        <v>8</v>
      </c>
      <c r="Q255" s="233" cm="1">
        <f t="array" ref="Q255">SUMPRODUCT((H_tblBGTage=I255)*(H_tblBGMnt=E255)*H_tblBG%)</f>
        <v>1</v>
      </c>
      <c r="R255" s="231">
        <f t="shared" si="62"/>
        <v>8</v>
      </c>
      <c r="S255" s="237"/>
      <c r="T255" s="237"/>
      <c r="U255" s="236" cm="1">
        <f t="array" ref="U255">SUMPRODUCT((SEP!M_Verweiszeile=$H255)*SEP!M_ProdTag*(SEP!M_Monat=$E255))</f>
        <v>0</v>
      </c>
      <c r="V255" s="236" cm="1">
        <f t="array" ref="V255">SUMPRODUCT((SEP!M_Verweiszeile=$H255)*SEP!M_ProdN1*(SEP!M_Monat=$E255))</f>
        <v>0</v>
      </c>
      <c r="W255" s="236" cm="1">
        <f t="array" ref="W255">SUMPRODUCT((SEP!M_Verweiszeile=$H255)*SEP!M_ProdN2*(SEP!M_Monat=$E255))</f>
        <v>0</v>
      </c>
      <c r="X255" s="236">
        <f t="shared" si="63"/>
        <v>0</v>
      </c>
      <c r="Y255" s="236">
        <f t="shared" si="53"/>
        <v>0</v>
      </c>
      <c r="Z255" s="236">
        <f t="shared" si="54"/>
        <v>0</v>
      </c>
      <c r="AA255" s="236">
        <f t="shared" si="64"/>
        <v>0</v>
      </c>
      <c r="AB255" s="236">
        <f t="shared" si="65"/>
        <v>0</v>
      </c>
      <c r="AC255" s="236">
        <f t="shared" si="66"/>
        <v>0</v>
      </c>
    </row>
    <row r="256" spans="3:29" s="189" customFormat="1" x14ac:dyDescent="0.2">
      <c r="C256" s="129">
        <v>247</v>
      </c>
      <c r="D256" s="190">
        <f t="shared" si="67"/>
        <v>45538</v>
      </c>
      <c r="E256" s="129">
        <f t="shared" si="55"/>
        <v>9</v>
      </c>
      <c r="F256" s="191">
        <f t="shared" si="56"/>
        <v>45538</v>
      </c>
      <c r="G256" s="129">
        <f t="shared" si="57"/>
        <v>36</v>
      </c>
      <c r="H256" s="129">
        <f t="shared" si="58"/>
        <v>3</v>
      </c>
      <c r="I256" s="129">
        <f t="shared" si="59"/>
        <v>2</v>
      </c>
      <c r="J256" s="192">
        <f t="shared" si="60"/>
        <v>45538</v>
      </c>
      <c r="K256" s="129" t="str" cm="1">
        <f t="array" ref="K256">IF(AND(I256&lt;7,INDEX(B_tblFTMatrix,$E256,$H256)="x"),"ft","")</f>
        <v/>
      </c>
      <c r="L256" s="129"/>
      <c r="M256" s="129"/>
      <c r="N256" s="129">
        <f t="shared" si="51"/>
        <v>1</v>
      </c>
      <c r="O256" s="129">
        <f t="shared" si="61"/>
        <v>1</v>
      </c>
      <c r="P256" s="231">
        <f t="shared" si="52"/>
        <v>8</v>
      </c>
      <c r="Q256" s="233" cm="1">
        <f t="array" ref="Q256">SUMPRODUCT((H_tblBGTage=I256)*(H_tblBGMnt=E256)*H_tblBG%)</f>
        <v>1</v>
      </c>
      <c r="R256" s="231">
        <f t="shared" si="62"/>
        <v>8</v>
      </c>
      <c r="S256" s="237"/>
      <c r="T256" s="237"/>
      <c r="U256" s="236" cm="1">
        <f t="array" ref="U256">SUMPRODUCT((SEP!M_Verweiszeile=$H256)*SEP!M_ProdTag*(SEP!M_Monat=$E256))</f>
        <v>0</v>
      </c>
      <c r="V256" s="236" cm="1">
        <f t="array" ref="V256">SUMPRODUCT((SEP!M_Verweiszeile=$H256)*SEP!M_ProdN1*(SEP!M_Monat=$E256))</f>
        <v>0</v>
      </c>
      <c r="W256" s="236" cm="1">
        <f t="array" ref="W256">SUMPRODUCT((SEP!M_Verweiszeile=$H256)*SEP!M_ProdN2*(SEP!M_Monat=$E256))</f>
        <v>0</v>
      </c>
      <c r="X256" s="236">
        <f t="shared" si="63"/>
        <v>0</v>
      </c>
      <c r="Y256" s="236">
        <f t="shared" si="53"/>
        <v>0</v>
      </c>
      <c r="Z256" s="236">
        <f t="shared" si="54"/>
        <v>0</v>
      </c>
      <c r="AA256" s="236">
        <f t="shared" si="64"/>
        <v>0</v>
      </c>
      <c r="AB256" s="236">
        <f t="shared" si="65"/>
        <v>0</v>
      </c>
      <c r="AC256" s="236">
        <f t="shared" si="66"/>
        <v>0</v>
      </c>
    </row>
    <row r="257" spans="3:29" s="189" customFormat="1" x14ac:dyDescent="0.2">
      <c r="C257" s="129">
        <v>248</v>
      </c>
      <c r="D257" s="190">
        <f t="shared" si="67"/>
        <v>45539</v>
      </c>
      <c r="E257" s="129">
        <f t="shared" si="55"/>
        <v>9</v>
      </c>
      <c r="F257" s="191">
        <f t="shared" si="56"/>
        <v>45539</v>
      </c>
      <c r="G257" s="129">
        <f t="shared" si="57"/>
        <v>36</v>
      </c>
      <c r="H257" s="129">
        <f t="shared" si="58"/>
        <v>4</v>
      </c>
      <c r="I257" s="129">
        <f t="shared" si="59"/>
        <v>3</v>
      </c>
      <c r="J257" s="192">
        <f t="shared" si="60"/>
        <v>45539</v>
      </c>
      <c r="K257" s="129" t="str" cm="1">
        <f t="array" ref="K257">IF(AND(I257&lt;7,INDEX(B_tblFTMatrix,$E257,$H257)="x"),"ft","")</f>
        <v/>
      </c>
      <c r="L257" s="129"/>
      <c r="M257" s="129"/>
      <c r="N257" s="129">
        <f t="shared" si="51"/>
        <v>1</v>
      </c>
      <c r="O257" s="129">
        <f t="shared" si="61"/>
        <v>1</v>
      </c>
      <c r="P257" s="231">
        <f t="shared" si="52"/>
        <v>8</v>
      </c>
      <c r="Q257" s="233" cm="1">
        <f t="array" ref="Q257">SUMPRODUCT((H_tblBGTage=I257)*(H_tblBGMnt=E257)*H_tblBG%)</f>
        <v>1</v>
      </c>
      <c r="R257" s="231">
        <f t="shared" si="62"/>
        <v>8</v>
      </c>
      <c r="S257" s="237"/>
      <c r="T257" s="237"/>
      <c r="U257" s="236" cm="1">
        <f t="array" ref="U257">SUMPRODUCT((SEP!M_Verweiszeile=$H257)*SEP!M_ProdTag*(SEP!M_Monat=$E257))</f>
        <v>0</v>
      </c>
      <c r="V257" s="236" cm="1">
        <f t="array" ref="V257">SUMPRODUCT((SEP!M_Verweiszeile=$H257)*SEP!M_ProdN1*(SEP!M_Monat=$E257))</f>
        <v>0</v>
      </c>
      <c r="W257" s="236" cm="1">
        <f t="array" ref="W257">SUMPRODUCT((SEP!M_Verweiszeile=$H257)*SEP!M_ProdN2*(SEP!M_Monat=$E257))</f>
        <v>0</v>
      </c>
      <c r="X257" s="236">
        <f t="shared" si="63"/>
        <v>0</v>
      </c>
      <c r="Y257" s="236">
        <f t="shared" si="53"/>
        <v>0</v>
      </c>
      <c r="Z257" s="236">
        <f t="shared" si="54"/>
        <v>0</v>
      </c>
      <c r="AA257" s="236">
        <f t="shared" si="64"/>
        <v>0</v>
      </c>
      <c r="AB257" s="236">
        <f t="shared" si="65"/>
        <v>0</v>
      </c>
      <c r="AC257" s="236">
        <f t="shared" si="66"/>
        <v>0</v>
      </c>
    </row>
    <row r="258" spans="3:29" s="189" customFormat="1" x14ac:dyDescent="0.2">
      <c r="C258" s="129">
        <v>249</v>
      </c>
      <c r="D258" s="190">
        <f t="shared" si="67"/>
        <v>45540</v>
      </c>
      <c r="E258" s="129">
        <f t="shared" si="55"/>
        <v>9</v>
      </c>
      <c r="F258" s="191">
        <f t="shared" si="56"/>
        <v>45540</v>
      </c>
      <c r="G258" s="129">
        <f t="shared" si="57"/>
        <v>36</v>
      </c>
      <c r="H258" s="129">
        <f t="shared" si="58"/>
        <v>5</v>
      </c>
      <c r="I258" s="129">
        <f t="shared" si="59"/>
        <v>4</v>
      </c>
      <c r="J258" s="192">
        <f t="shared" si="60"/>
        <v>45540</v>
      </c>
      <c r="K258" s="129" t="str" cm="1">
        <f t="array" ref="K258">IF(AND(I258&lt;7,INDEX(B_tblFTMatrix,$E258,$H258)="x"),"ft","")</f>
        <v/>
      </c>
      <c r="L258" s="129"/>
      <c r="M258" s="129"/>
      <c r="N258" s="129">
        <f t="shared" si="51"/>
        <v>1</v>
      </c>
      <c r="O258" s="129">
        <f t="shared" si="61"/>
        <v>1</v>
      </c>
      <c r="P258" s="231">
        <f t="shared" si="52"/>
        <v>8</v>
      </c>
      <c r="Q258" s="233" cm="1">
        <f t="array" ref="Q258">SUMPRODUCT((H_tblBGTage=I258)*(H_tblBGMnt=E258)*H_tblBG%)</f>
        <v>1</v>
      </c>
      <c r="R258" s="231">
        <f t="shared" si="62"/>
        <v>8</v>
      </c>
      <c r="S258" s="237"/>
      <c r="T258" s="237"/>
      <c r="U258" s="236" cm="1">
        <f t="array" ref="U258">SUMPRODUCT((SEP!M_Verweiszeile=$H258)*SEP!M_ProdTag*(SEP!M_Monat=$E258))</f>
        <v>0</v>
      </c>
      <c r="V258" s="236" cm="1">
        <f t="array" ref="V258">SUMPRODUCT((SEP!M_Verweiszeile=$H258)*SEP!M_ProdN1*(SEP!M_Monat=$E258))</f>
        <v>0</v>
      </c>
      <c r="W258" s="236" cm="1">
        <f t="array" ref="W258">SUMPRODUCT((SEP!M_Verweiszeile=$H258)*SEP!M_ProdN2*(SEP!M_Monat=$E258))</f>
        <v>0</v>
      </c>
      <c r="X258" s="236">
        <f t="shared" si="63"/>
        <v>0</v>
      </c>
      <c r="Y258" s="236">
        <f t="shared" si="53"/>
        <v>0</v>
      </c>
      <c r="Z258" s="236">
        <f t="shared" si="54"/>
        <v>0</v>
      </c>
      <c r="AA258" s="236">
        <f t="shared" si="64"/>
        <v>0</v>
      </c>
      <c r="AB258" s="236">
        <f t="shared" si="65"/>
        <v>0</v>
      </c>
      <c r="AC258" s="236">
        <f t="shared" si="66"/>
        <v>0</v>
      </c>
    </row>
    <row r="259" spans="3:29" s="189" customFormat="1" x14ac:dyDescent="0.2">
      <c r="C259" s="129">
        <v>250</v>
      </c>
      <c r="D259" s="190">
        <f t="shared" si="67"/>
        <v>45541</v>
      </c>
      <c r="E259" s="129">
        <f t="shared" si="55"/>
        <v>9</v>
      </c>
      <c r="F259" s="191">
        <f t="shared" si="56"/>
        <v>45541</v>
      </c>
      <c r="G259" s="129">
        <f t="shared" si="57"/>
        <v>36</v>
      </c>
      <c r="H259" s="129">
        <f t="shared" si="58"/>
        <v>6</v>
      </c>
      <c r="I259" s="129">
        <f t="shared" si="59"/>
        <v>5</v>
      </c>
      <c r="J259" s="192">
        <f t="shared" si="60"/>
        <v>45541</v>
      </c>
      <c r="K259" s="129" t="str" cm="1">
        <f t="array" ref="K259">IF(AND(I259&lt;7,INDEX(B_tblFTMatrix,$E259,$H259)="x"),"ft","")</f>
        <v/>
      </c>
      <c r="L259" s="129"/>
      <c r="M259" s="129"/>
      <c r="N259" s="129">
        <f t="shared" si="51"/>
        <v>1</v>
      </c>
      <c r="O259" s="129">
        <f t="shared" si="61"/>
        <v>1</v>
      </c>
      <c r="P259" s="231">
        <f t="shared" si="52"/>
        <v>8</v>
      </c>
      <c r="Q259" s="233" cm="1">
        <f t="array" ref="Q259">SUMPRODUCT((H_tblBGTage=I259)*(H_tblBGMnt=E259)*H_tblBG%)</f>
        <v>1</v>
      </c>
      <c r="R259" s="231">
        <f t="shared" si="62"/>
        <v>8</v>
      </c>
      <c r="S259" s="237"/>
      <c r="T259" s="237"/>
      <c r="U259" s="236" cm="1">
        <f t="array" ref="U259">SUMPRODUCT((SEP!M_Verweiszeile=$H259)*SEP!M_ProdTag*(SEP!M_Monat=$E259))</f>
        <v>0</v>
      </c>
      <c r="V259" s="236" cm="1">
        <f t="array" ref="V259">SUMPRODUCT((SEP!M_Verweiszeile=$H259)*SEP!M_ProdN1*(SEP!M_Monat=$E259))</f>
        <v>0</v>
      </c>
      <c r="W259" s="236" cm="1">
        <f t="array" ref="W259">SUMPRODUCT((SEP!M_Verweiszeile=$H259)*SEP!M_ProdN2*(SEP!M_Monat=$E259))</f>
        <v>0</v>
      </c>
      <c r="X259" s="236">
        <f t="shared" si="63"/>
        <v>0</v>
      </c>
      <c r="Y259" s="236">
        <f t="shared" si="53"/>
        <v>0</v>
      </c>
      <c r="Z259" s="236">
        <f t="shared" si="54"/>
        <v>0</v>
      </c>
      <c r="AA259" s="236">
        <f t="shared" si="64"/>
        <v>0</v>
      </c>
      <c r="AB259" s="236">
        <f t="shared" si="65"/>
        <v>0</v>
      </c>
      <c r="AC259" s="236">
        <f t="shared" si="66"/>
        <v>0</v>
      </c>
    </row>
    <row r="260" spans="3:29" s="189" customFormat="1" x14ac:dyDescent="0.2">
      <c r="C260" s="129">
        <v>251</v>
      </c>
      <c r="D260" s="190">
        <f t="shared" si="67"/>
        <v>45542</v>
      </c>
      <c r="E260" s="129">
        <f t="shared" si="55"/>
        <v>9</v>
      </c>
      <c r="F260" s="191">
        <f t="shared" si="56"/>
        <v>45542</v>
      </c>
      <c r="G260" s="129">
        <f t="shared" si="57"/>
        <v>36</v>
      </c>
      <c r="H260" s="129">
        <f t="shared" si="58"/>
        <v>7</v>
      </c>
      <c r="I260" s="129">
        <f t="shared" si="59"/>
        <v>6</v>
      </c>
      <c r="J260" s="192">
        <f t="shared" si="60"/>
        <v>45542</v>
      </c>
      <c r="K260" s="129" t="str" cm="1">
        <f t="array" ref="K260">IF(AND(I260&lt;7,INDEX(B_tblFTMatrix,$E260,$H260)="x"),"ft","")</f>
        <v/>
      </c>
      <c r="L260" s="129"/>
      <c r="M260" s="129"/>
      <c r="N260" s="129">
        <f t="shared" si="51"/>
        <v>0</v>
      </c>
      <c r="O260" s="129">
        <f t="shared" si="61"/>
        <v>0</v>
      </c>
      <c r="P260" s="231">
        <f t="shared" si="52"/>
        <v>0</v>
      </c>
      <c r="Q260" s="233" cm="1">
        <f t="array" ref="Q260">SUMPRODUCT((H_tblBGTage=I260)*(H_tblBGMnt=E260)*H_tblBG%)</f>
        <v>0</v>
      </c>
      <c r="R260" s="231">
        <f t="shared" si="62"/>
        <v>0</v>
      </c>
      <c r="S260" s="237"/>
      <c r="T260" s="237"/>
      <c r="U260" s="236" cm="1">
        <f t="array" ref="U260">SUMPRODUCT((SEP!M_Verweiszeile=$H260)*SEP!M_ProdTag*(SEP!M_Monat=$E260))</f>
        <v>0</v>
      </c>
      <c r="V260" s="236" cm="1">
        <f t="array" ref="V260">SUMPRODUCT((SEP!M_Verweiszeile=$H260)*SEP!M_ProdN1*(SEP!M_Monat=$E260))</f>
        <v>0</v>
      </c>
      <c r="W260" s="236" cm="1">
        <f t="array" ref="W260">SUMPRODUCT((SEP!M_Verweiszeile=$H260)*SEP!M_ProdN2*(SEP!M_Monat=$E260))</f>
        <v>0</v>
      </c>
      <c r="X260" s="236">
        <f t="shared" si="63"/>
        <v>0</v>
      </c>
      <c r="Y260" s="236">
        <f t="shared" si="53"/>
        <v>0</v>
      </c>
      <c r="Z260" s="236">
        <f t="shared" si="54"/>
        <v>0</v>
      </c>
      <c r="AA260" s="236">
        <f t="shared" si="64"/>
        <v>0</v>
      </c>
      <c r="AB260" s="236">
        <f t="shared" si="65"/>
        <v>0</v>
      </c>
      <c r="AC260" s="236">
        <f t="shared" si="66"/>
        <v>0</v>
      </c>
    </row>
    <row r="261" spans="3:29" s="189" customFormat="1" x14ac:dyDescent="0.2">
      <c r="C261" s="129">
        <v>252</v>
      </c>
      <c r="D261" s="190">
        <f t="shared" si="67"/>
        <v>45543</v>
      </c>
      <c r="E261" s="129">
        <f t="shared" si="55"/>
        <v>9</v>
      </c>
      <c r="F261" s="191">
        <f t="shared" si="56"/>
        <v>45543</v>
      </c>
      <c r="G261" s="129">
        <f t="shared" si="57"/>
        <v>36</v>
      </c>
      <c r="H261" s="129">
        <f t="shared" si="58"/>
        <v>8</v>
      </c>
      <c r="I261" s="129">
        <f t="shared" si="59"/>
        <v>7</v>
      </c>
      <c r="J261" s="192">
        <f t="shared" si="60"/>
        <v>45543</v>
      </c>
      <c r="K261" s="129" t="str" cm="1">
        <f t="array" ref="K261">IF(AND(I261&lt;7,INDEX(B_tblFTMatrix,$E261,$H261)="x"),"ft","")</f>
        <v/>
      </c>
      <c r="L261" s="129"/>
      <c r="M261" s="129"/>
      <c r="N261" s="129">
        <f t="shared" si="51"/>
        <v>0</v>
      </c>
      <c r="O261" s="129">
        <f t="shared" si="61"/>
        <v>0</v>
      </c>
      <c r="P261" s="231">
        <f t="shared" si="52"/>
        <v>0</v>
      </c>
      <c r="Q261" s="233" cm="1">
        <f t="array" ref="Q261">SUMPRODUCT((H_tblBGTage=I261)*(H_tblBGMnt=E261)*H_tblBG%)</f>
        <v>0</v>
      </c>
      <c r="R261" s="231">
        <f t="shared" si="62"/>
        <v>0</v>
      </c>
      <c r="S261" s="237"/>
      <c r="T261" s="237"/>
      <c r="U261" s="236" cm="1">
        <f t="array" ref="U261">SUMPRODUCT((SEP!M_Verweiszeile=$H261)*SEP!M_ProdTag*(SEP!M_Monat=$E261))</f>
        <v>0</v>
      </c>
      <c r="V261" s="236" cm="1">
        <f t="array" ref="V261">SUMPRODUCT((SEP!M_Verweiszeile=$H261)*SEP!M_ProdN1*(SEP!M_Monat=$E261))</f>
        <v>0</v>
      </c>
      <c r="W261" s="236" cm="1">
        <f t="array" ref="W261">SUMPRODUCT((SEP!M_Verweiszeile=$H261)*SEP!M_ProdN2*(SEP!M_Monat=$E261))</f>
        <v>0</v>
      </c>
      <c r="X261" s="236">
        <f t="shared" si="63"/>
        <v>0</v>
      </c>
      <c r="Y261" s="236">
        <f t="shared" si="53"/>
        <v>0</v>
      </c>
      <c r="Z261" s="236">
        <f t="shared" si="54"/>
        <v>0</v>
      </c>
      <c r="AA261" s="236">
        <f t="shared" si="64"/>
        <v>0</v>
      </c>
      <c r="AB261" s="236">
        <f t="shared" si="65"/>
        <v>0</v>
      </c>
      <c r="AC261" s="236">
        <f t="shared" si="66"/>
        <v>0</v>
      </c>
    </row>
    <row r="262" spans="3:29" s="189" customFormat="1" x14ac:dyDescent="0.2">
      <c r="C262" s="129">
        <v>253</v>
      </c>
      <c r="D262" s="190">
        <f t="shared" si="67"/>
        <v>45544</v>
      </c>
      <c r="E262" s="129">
        <f t="shared" si="55"/>
        <v>9</v>
      </c>
      <c r="F262" s="191">
        <f t="shared" si="56"/>
        <v>45544</v>
      </c>
      <c r="G262" s="129">
        <f t="shared" si="57"/>
        <v>37</v>
      </c>
      <c r="H262" s="129">
        <f t="shared" si="58"/>
        <v>9</v>
      </c>
      <c r="I262" s="129">
        <f t="shared" si="59"/>
        <v>1</v>
      </c>
      <c r="J262" s="192">
        <f t="shared" si="60"/>
        <v>45544</v>
      </c>
      <c r="K262" s="129" t="str" cm="1">
        <f t="array" ref="K262">IF(AND(I262&lt;7,INDEX(B_tblFTMatrix,$E262,$H262)="x"),"ft","")</f>
        <v/>
      </c>
      <c r="L262" s="129"/>
      <c r="M262" s="129"/>
      <c r="N262" s="129">
        <f t="shared" si="51"/>
        <v>1</v>
      </c>
      <c r="O262" s="129">
        <f t="shared" si="61"/>
        <v>1</v>
      </c>
      <c r="P262" s="231">
        <f t="shared" si="52"/>
        <v>8</v>
      </c>
      <c r="Q262" s="233" cm="1">
        <f t="array" ref="Q262">SUMPRODUCT((H_tblBGTage=I262)*(H_tblBGMnt=E262)*H_tblBG%)</f>
        <v>1</v>
      </c>
      <c r="R262" s="231">
        <f t="shared" si="62"/>
        <v>8</v>
      </c>
      <c r="S262" s="237"/>
      <c r="T262" s="237"/>
      <c r="U262" s="236" cm="1">
        <f t="array" ref="U262">SUMPRODUCT((SEP!M_Verweiszeile=$H262)*SEP!M_ProdTag*(SEP!M_Monat=$E262))</f>
        <v>0</v>
      </c>
      <c r="V262" s="236" cm="1">
        <f t="array" ref="V262">SUMPRODUCT((SEP!M_Verweiszeile=$H262)*SEP!M_ProdN1*(SEP!M_Monat=$E262))</f>
        <v>0</v>
      </c>
      <c r="W262" s="236" cm="1">
        <f t="array" ref="W262">SUMPRODUCT((SEP!M_Verweiszeile=$H262)*SEP!M_ProdN2*(SEP!M_Monat=$E262))</f>
        <v>0</v>
      </c>
      <c r="X262" s="236">
        <f t="shared" si="63"/>
        <v>0</v>
      </c>
      <c r="Y262" s="236">
        <f t="shared" si="53"/>
        <v>0</v>
      </c>
      <c r="Z262" s="236">
        <f t="shared" si="54"/>
        <v>0</v>
      </c>
      <c r="AA262" s="236">
        <f t="shared" si="64"/>
        <v>0</v>
      </c>
      <c r="AB262" s="236">
        <f t="shared" si="65"/>
        <v>0</v>
      </c>
      <c r="AC262" s="236">
        <f t="shared" si="66"/>
        <v>0</v>
      </c>
    </row>
    <row r="263" spans="3:29" s="189" customFormat="1" x14ac:dyDescent="0.2">
      <c r="C263" s="129">
        <v>254</v>
      </c>
      <c r="D263" s="190">
        <f t="shared" si="67"/>
        <v>45545</v>
      </c>
      <c r="E263" s="129">
        <f t="shared" si="55"/>
        <v>9</v>
      </c>
      <c r="F263" s="191">
        <f t="shared" si="56"/>
        <v>45545</v>
      </c>
      <c r="G263" s="129">
        <f t="shared" si="57"/>
        <v>37</v>
      </c>
      <c r="H263" s="129">
        <f t="shared" si="58"/>
        <v>10</v>
      </c>
      <c r="I263" s="129">
        <f t="shared" si="59"/>
        <v>2</v>
      </c>
      <c r="J263" s="192">
        <f t="shared" si="60"/>
        <v>45545</v>
      </c>
      <c r="K263" s="129" t="str" cm="1">
        <f t="array" ref="K263">IF(AND(I263&lt;7,INDEX(B_tblFTMatrix,$E263,$H263)="x"),"ft","")</f>
        <v/>
      </c>
      <c r="L263" s="129"/>
      <c r="M263" s="129"/>
      <c r="N263" s="129">
        <f t="shared" si="51"/>
        <v>1</v>
      </c>
      <c r="O263" s="129">
        <f t="shared" si="61"/>
        <v>1</v>
      </c>
      <c r="P263" s="231">
        <f t="shared" si="52"/>
        <v>8</v>
      </c>
      <c r="Q263" s="233" cm="1">
        <f t="array" ref="Q263">SUMPRODUCT((H_tblBGTage=I263)*(H_tblBGMnt=E263)*H_tblBG%)</f>
        <v>1</v>
      </c>
      <c r="R263" s="231">
        <f t="shared" si="62"/>
        <v>8</v>
      </c>
      <c r="S263" s="237"/>
      <c r="T263" s="237"/>
      <c r="U263" s="236" cm="1">
        <f t="array" ref="U263">SUMPRODUCT((SEP!M_Verweiszeile=$H263)*SEP!M_ProdTag*(SEP!M_Monat=$E263))</f>
        <v>0</v>
      </c>
      <c r="V263" s="236" cm="1">
        <f t="array" ref="V263">SUMPRODUCT((SEP!M_Verweiszeile=$H263)*SEP!M_ProdN1*(SEP!M_Monat=$E263))</f>
        <v>0</v>
      </c>
      <c r="W263" s="236" cm="1">
        <f t="array" ref="W263">SUMPRODUCT((SEP!M_Verweiszeile=$H263)*SEP!M_ProdN2*(SEP!M_Monat=$E263))</f>
        <v>0</v>
      </c>
      <c r="X263" s="236">
        <f t="shared" si="63"/>
        <v>0</v>
      </c>
      <c r="Y263" s="236">
        <f t="shared" si="53"/>
        <v>0</v>
      </c>
      <c r="Z263" s="236">
        <f t="shared" si="54"/>
        <v>0</v>
      </c>
      <c r="AA263" s="236">
        <f t="shared" si="64"/>
        <v>0</v>
      </c>
      <c r="AB263" s="236">
        <f t="shared" si="65"/>
        <v>0</v>
      </c>
      <c r="AC263" s="236">
        <f t="shared" si="66"/>
        <v>0</v>
      </c>
    </row>
    <row r="264" spans="3:29" s="189" customFormat="1" x14ac:dyDescent="0.2">
      <c r="C264" s="129">
        <v>255</v>
      </c>
      <c r="D264" s="190">
        <f t="shared" si="67"/>
        <v>45546</v>
      </c>
      <c r="E264" s="129">
        <f t="shared" si="55"/>
        <v>9</v>
      </c>
      <c r="F264" s="191">
        <f t="shared" si="56"/>
        <v>45546</v>
      </c>
      <c r="G264" s="129">
        <f t="shared" si="57"/>
        <v>37</v>
      </c>
      <c r="H264" s="129">
        <f t="shared" si="58"/>
        <v>11</v>
      </c>
      <c r="I264" s="129">
        <f t="shared" si="59"/>
        <v>3</v>
      </c>
      <c r="J264" s="192">
        <f t="shared" si="60"/>
        <v>45546</v>
      </c>
      <c r="K264" s="129" t="str" cm="1">
        <f t="array" ref="K264">IF(AND(I264&lt;7,INDEX(B_tblFTMatrix,$E264,$H264)="x"),"ft","")</f>
        <v/>
      </c>
      <c r="L264" s="129"/>
      <c r="M264" s="129"/>
      <c r="N264" s="129">
        <f t="shared" si="51"/>
        <v>1</v>
      </c>
      <c r="O264" s="129">
        <f t="shared" si="61"/>
        <v>1</v>
      </c>
      <c r="P264" s="231">
        <f t="shared" si="52"/>
        <v>8</v>
      </c>
      <c r="Q264" s="233" cm="1">
        <f t="array" ref="Q264">SUMPRODUCT((H_tblBGTage=I264)*(H_tblBGMnt=E264)*H_tblBG%)</f>
        <v>1</v>
      </c>
      <c r="R264" s="231">
        <f t="shared" si="62"/>
        <v>8</v>
      </c>
      <c r="S264" s="237"/>
      <c r="T264" s="237"/>
      <c r="U264" s="236" cm="1">
        <f t="array" ref="U264">SUMPRODUCT((SEP!M_Verweiszeile=$H264)*SEP!M_ProdTag*(SEP!M_Monat=$E264))</f>
        <v>0</v>
      </c>
      <c r="V264" s="236" cm="1">
        <f t="array" ref="V264">SUMPRODUCT((SEP!M_Verweiszeile=$H264)*SEP!M_ProdN1*(SEP!M_Monat=$E264))</f>
        <v>0</v>
      </c>
      <c r="W264" s="236" cm="1">
        <f t="array" ref="W264">SUMPRODUCT((SEP!M_Verweiszeile=$H264)*SEP!M_ProdN2*(SEP!M_Monat=$E264))</f>
        <v>0</v>
      </c>
      <c r="X264" s="236">
        <f t="shared" si="63"/>
        <v>0</v>
      </c>
      <c r="Y264" s="236">
        <f t="shared" si="53"/>
        <v>0</v>
      </c>
      <c r="Z264" s="236">
        <f t="shared" si="54"/>
        <v>0</v>
      </c>
      <c r="AA264" s="236">
        <f t="shared" si="64"/>
        <v>0</v>
      </c>
      <c r="AB264" s="236">
        <f t="shared" si="65"/>
        <v>0</v>
      </c>
      <c r="AC264" s="236">
        <f t="shared" si="66"/>
        <v>0</v>
      </c>
    </row>
    <row r="265" spans="3:29" s="189" customFormat="1" x14ac:dyDescent="0.2">
      <c r="C265" s="129">
        <v>256</v>
      </c>
      <c r="D265" s="190">
        <f t="shared" si="67"/>
        <v>45547</v>
      </c>
      <c r="E265" s="129">
        <f t="shared" si="55"/>
        <v>9</v>
      </c>
      <c r="F265" s="191">
        <f t="shared" si="56"/>
        <v>45547</v>
      </c>
      <c r="G265" s="129">
        <f t="shared" si="57"/>
        <v>37</v>
      </c>
      <c r="H265" s="129">
        <f t="shared" si="58"/>
        <v>12</v>
      </c>
      <c r="I265" s="129">
        <f t="shared" si="59"/>
        <v>4</v>
      </c>
      <c r="J265" s="192">
        <f t="shared" si="60"/>
        <v>45547</v>
      </c>
      <c r="K265" s="129" t="str" cm="1">
        <f t="array" ref="K265">IF(AND(I265&lt;7,INDEX(B_tblFTMatrix,$E265,$H265)="x"),"ft","")</f>
        <v/>
      </c>
      <c r="L265" s="129"/>
      <c r="M265" s="129"/>
      <c r="N265" s="129">
        <f t="shared" si="51"/>
        <v>1</v>
      </c>
      <c r="O265" s="129">
        <f t="shared" si="61"/>
        <v>1</v>
      </c>
      <c r="P265" s="231">
        <f t="shared" si="52"/>
        <v>8</v>
      </c>
      <c r="Q265" s="233" cm="1">
        <f t="array" ref="Q265">SUMPRODUCT((H_tblBGTage=I265)*(H_tblBGMnt=E265)*H_tblBG%)</f>
        <v>1</v>
      </c>
      <c r="R265" s="231">
        <f t="shared" si="62"/>
        <v>8</v>
      </c>
      <c r="S265" s="237"/>
      <c r="T265" s="237"/>
      <c r="U265" s="236" cm="1">
        <f t="array" ref="U265">SUMPRODUCT((SEP!M_Verweiszeile=$H265)*SEP!M_ProdTag*(SEP!M_Monat=$E265))</f>
        <v>0</v>
      </c>
      <c r="V265" s="236" cm="1">
        <f t="array" ref="V265">SUMPRODUCT((SEP!M_Verweiszeile=$H265)*SEP!M_ProdN1*(SEP!M_Monat=$E265))</f>
        <v>0</v>
      </c>
      <c r="W265" s="236" cm="1">
        <f t="array" ref="W265">SUMPRODUCT((SEP!M_Verweiszeile=$H265)*SEP!M_ProdN2*(SEP!M_Monat=$E265))</f>
        <v>0</v>
      </c>
      <c r="X265" s="236">
        <f t="shared" si="63"/>
        <v>0</v>
      </c>
      <c r="Y265" s="236">
        <f t="shared" si="53"/>
        <v>0</v>
      </c>
      <c r="Z265" s="236">
        <f t="shared" si="54"/>
        <v>0</v>
      </c>
      <c r="AA265" s="236">
        <f t="shared" si="64"/>
        <v>0</v>
      </c>
      <c r="AB265" s="236">
        <f t="shared" si="65"/>
        <v>0</v>
      </c>
      <c r="AC265" s="236">
        <f t="shared" si="66"/>
        <v>0</v>
      </c>
    </row>
    <row r="266" spans="3:29" s="189" customFormat="1" x14ac:dyDescent="0.2">
      <c r="C266" s="129">
        <v>257</v>
      </c>
      <c r="D266" s="190">
        <f t="shared" si="67"/>
        <v>45548</v>
      </c>
      <c r="E266" s="129">
        <f t="shared" si="55"/>
        <v>9</v>
      </c>
      <c r="F266" s="191">
        <f t="shared" si="56"/>
        <v>45548</v>
      </c>
      <c r="G266" s="129">
        <f t="shared" si="57"/>
        <v>37</v>
      </c>
      <c r="H266" s="129">
        <f t="shared" si="58"/>
        <v>13</v>
      </c>
      <c r="I266" s="129">
        <f t="shared" si="59"/>
        <v>5</v>
      </c>
      <c r="J266" s="192">
        <f t="shared" si="60"/>
        <v>45548</v>
      </c>
      <c r="K266" s="129" t="str" cm="1">
        <f t="array" ref="K266">IF(AND(I266&lt;7,INDEX(B_tblFTMatrix,$E266,$H266)="x"),"ft","")</f>
        <v/>
      </c>
      <c r="L266" s="129"/>
      <c r="M266" s="129"/>
      <c r="N266" s="129">
        <f t="shared" ref="N266:N329" si="68">IF(I266&lt;6,1,0)</f>
        <v>1</v>
      </c>
      <c r="O266" s="129">
        <f t="shared" si="61"/>
        <v>1</v>
      </c>
      <c r="P266" s="231">
        <f t="shared" ref="P266:P329" si="69">IFERROR($E$3*N266,0)</f>
        <v>8</v>
      </c>
      <c r="Q266" s="233" cm="1">
        <f t="array" ref="Q266">SUMPRODUCT((H_tblBGTage=I266)*(H_tblBGMnt=E266)*H_tblBG%)</f>
        <v>1</v>
      </c>
      <c r="R266" s="231">
        <f t="shared" si="62"/>
        <v>8</v>
      </c>
      <c r="S266" s="237"/>
      <c r="T266" s="237"/>
      <c r="U266" s="236" cm="1">
        <f t="array" ref="U266">SUMPRODUCT((SEP!M_Verweiszeile=$H266)*SEP!M_ProdTag*(SEP!M_Monat=$E266))</f>
        <v>0</v>
      </c>
      <c r="V266" s="236" cm="1">
        <f t="array" ref="V266">SUMPRODUCT((SEP!M_Verweiszeile=$H266)*SEP!M_ProdN1*(SEP!M_Monat=$E266))</f>
        <v>0</v>
      </c>
      <c r="W266" s="236" cm="1">
        <f t="array" ref="W266">SUMPRODUCT((SEP!M_Verweiszeile=$H266)*SEP!M_ProdN2*(SEP!M_Monat=$E266))</f>
        <v>0</v>
      </c>
      <c r="X266" s="236">
        <f t="shared" si="63"/>
        <v>0</v>
      </c>
      <c r="Y266" s="236">
        <f t="shared" ref="Y266:Y329" si="70">IFERROR(IF($K266="ft",R266,0),0)</f>
        <v>0</v>
      </c>
      <c r="Z266" s="236">
        <f t="shared" ref="Z266:Z329" si="71">SUM(V266:W266)*A_fldZ2</f>
        <v>0</v>
      </c>
      <c r="AA266" s="236">
        <f t="shared" si="64"/>
        <v>0</v>
      </c>
      <c r="AB266" s="236">
        <f t="shared" si="65"/>
        <v>0</v>
      </c>
      <c r="AC266" s="236">
        <f t="shared" si="66"/>
        <v>0</v>
      </c>
    </row>
    <row r="267" spans="3:29" s="189" customFormat="1" x14ac:dyDescent="0.2">
      <c r="C267" s="129">
        <v>258</v>
      </c>
      <c r="D267" s="190">
        <f t="shared" si="67"/>
        <v>45549</v>
      </c>
      <c r="E267" s="129">
        <f t="shared" ref="E267:E330" si="72">MONTH(D267)</f>
        <v>9</v>
      </c>
      <c r="F267" s="191">
        <f t="shared" ref="F267:F330" si="73">D267</f>
        <v>45549</v>
      </c>
      <c r="G267" s="129">
        <f t="shared" ref="G267:G330" si="74">_xlfn.ISOWEEKNUM(D267)</f>
        <v>37</v>
      </c>
      <c r="H267" s="129">
        <f t="shared" ref="H267:H330" si="75">DAY(D267)</f>
        <v>14</v>
      </c>
      <c r="I267" s="129">
        <f t="shared" ref="I267:I330" si="76">WEEKDAY(D267,2)</f>
        <v>6</v>
      </c>
      <c r="J267" s="192">
        <f t="shared" ref="J267:J330" si="77">D267</f>
        <v>45549</v>
      </c>
      <c r="K267" s="129" t="str" cm="1">
        <f t="array" ref="K267">IF(AND(I267&lt;7,INDEX(B_tblFTMatrix,$E267,$H267)="x"),"ft","")</f>
        <v/>
      </c>
      <c r="L267" s="129"/>
      <c r="M267" s="129"/>
      <c r="N267" s="129">
        <f t="shared" si="68"/>
        <v>0</v>
      </c>
      <c r="O267" s="129">
        <f t="shared" ref="O267:O330" si="78">IF(AND(L267&lt;&gt;"x",N267),1,0)</f>
        <v>0</v>
      </c>
      <c r="P267" s="231">
        <f t="shared" si="69"/>
        <v>0</v>
      </c>
      <c r="Q267" s="233" cm="1">
        <f t="array" ref="Q267">SUMPRODUCT((H_tblBGTage=I267)*(H_tblBGMnt=E267)*H_tblBG%)</f>
        <v>0</v>
      </c>
      <c r="R267" s="231">
        <f t="shared" ref="R267:R330" si="79">IFERROR(P267*Q267,0)</f>
        <v>0</v>
      </c>
      <c r="S267" s="237"/>
      <c r="T267" s="237"/>
      <c r="U267" s="236" cm="1">
        <f t="array" ref="U267">SUMPRODUCT((SEP!M_Verweiszeile=$H267)*SEP!M_ProdTag*(SEP!M_Monat=$E267))</f>
        <v>0</v>
      </c>
      <c r="V267" s="236" cm="1">
        <f t="array" ref="V267">SUMPRODUCT((SEP!M_Verweiszeile=$H267)*SEP!M_ProdN1*(SEP!M_Monat=$E267))</f>
        <v>0</v>
      </c>
      <c r="W267" s="236" cm="1">
        <f t="array" ref="W267">SUMPRODUCT((SEP!M_Verweiszeile=$H267)*SEP!M_ProdN2*(SEP!M_Monat=$E267))</f>
        <v>0</v>
      </c>
      <c r="X267" s="236">
        <f t="shared" ref="X267:X330" si="80">SUM(U267:W267)</f>
        <v>0</v>
      </c>
      <c r="Y267" s="236">
        <f t="shared" si="70"/>
        <v>0</v>
      </c>
      <c r="Z267" s="236">
        <f t="shared" si="71"/>
        <v>0</v>
      </c>
      <c r="AA267" s="236">
        <f t="shared" ref="AA267:AA330" si="81">IF(OR(I267=7,K267="ft"),X267,0)</f>
        <v>0</v>
      </c>
      <c r="AB267" s="236">
        <f t="shared" ref="AB267:AB330" si="82">SUM(Y267:AA267)</f>
        <v>0</v>
      </c>
      <c r="AC267" s="236">
        <f t="shared" ref="AC267:AC330" si="83">X267+AB267</f>
        <v>0</v>
      </c>
    </row>
    <row r="268" spans="3:29" s="189" customFormat="1" x14ac:dyDescent="0.2">
      <c r="C268" s="129">
        <v>259</v>
      </c>
      <c r="D268" s="190">
        <f t="shared" ref="D268:D331" si="84">D267+1</f>
        <v>45550</v>
      </c>
      <c r="E268" s="129">
        <f t="shared" si="72"/>
        <v>9</v>
      </c>
      <c r="F268" s="191">
        <f t="shared" si="73"/>
        <v>45550</v>
      </c>
      <c r="G268" s="129">
        <f t="shared" si="74"/>
        <v>37</v>
      </c>
      <c r="H268" s="129">
        <f t="shared" si="75"/>
        <v>15</v>
      </c>
      <c r="I268" s="129">
        <f t="shared" si="76"/>
        <v>7</v>
      </c>
      <c r="J268" s="192">
        <f t="shared" si="77"/>
        <v>45550</v>
      </c>
      <c r="K268" s="129" t="str" cm="1">
        <f t="array" ref="K268">IF(AND(I268&lt;7,INDEX(B_tblFTMatrix,$E268,$H268)="x"),"ft","")</f>
        <v/>
      </c>
      <c r="L268" s="129"/>
      <c r="M268" s="129"/>
      <c r="N268" s="129">
        <f t="shared" si="68"/>
        <v>0</v>
      </c>
      <c r="O268" s="129">
        <f t="shared" si="78"/>
        <v>0</v>
      </c>
      <c r="P268" s="231">
        <f t="shared" si="69"/>
        <v>0</v>
      </c>
      <c r="Q268" s="233" cm="1">
        <f t="array" ref="Q268">SUMPRODUCT((H_tblBGTage=I268)*(H_tblBGMnt=E268)*H_tblBG%)</f>
        <v>0</v>
      </c>
      <c r="R268" s="231">
        <f t="shared" si="79"/>
        <v>0</v>
      </c>
      <c r="S268" s="237"/>
      <c r="T268" s="237"/>
      <c r="U268" s="236" cm="1">
        <f t="array" ref="U268">SUMPRODUCT((SEP!M_Verweiszeile=$H268)*SEP!M_ProdTag*(SEP!M_Monat=$E268))</f>
        <v>0</v>
      </c>
      <c r="V268" s="236" cm="1">
        <f t="array" ref="V268">SUMPRODUCT((SEP!M_Verweiszeile=$H268)*SEP!M_ProdN1*(SEP!M_Monat=$E268))</f>
        <v>0</v>
      </c>
      <c r="W268" s="236" cm="1">
        <f t="array" ref="W268">SUMPRODUCT((SEP!M_Verweiszeile=$H268)*SEP!M_ProdN2*(SEP!M_Monat=$E268))</f>
        <v>0</v>
      </c>
      <c r="X268" s="236">
        <f t="shared" si="80"/>
        <v>0</v>
      </c>
      <c r="Y268" s="236">
        <f t="shared" si="70"/>
        <v>0</v>
      </c>
      <c r="Z268" s="236">
        <f t="shared" si="71"/>
        <v>0</v>
      </c>
      <c r="AA268" s="236">
        <f t="shared" si="81"/>
        <v>0</v>
      </c>
      <c r="AB268" s="236">
        <f t="shared" si="82"/>
        <v>0</v>
      </c>
      <c r="AC268" s="236">
        <f t="shared" si="83"/>
        <v>0</v>
      </c>
    </row>
    <row r="269" spans="3:29" s="189" customFormat="1" x14ac:dyDescent="0.2">
      <c r="C269" s="129">
        <v>260</v>
      </c>
      <c r="D269" s="190">
        <f t="shared" si="84"/>
        <v>45551</v>
      </c>
      <c r="E269" s="129">
        <f t="shared" si="72"/>
        <v>9</v>
      </c>
      <c r="F269" s="191">
        <f t="shared" si="73"/>
        <v>45551</v>
      </c>
      <c r="G269" s="129">
        <f t="shared" si="74"/>
        <v>38</v>
      </c>
      <c r="H269" s="129">
        <f t="shared" si="75"/>
        <v>16</v>
      </c>
      <c r="I269" s="129">
        <f t="shared" si="76"/>
        <v>1</v>
      </c>
      <c r="J269" s="192">
        <f t="shared" si="77"/>
        <v>45551</v>
      </c>
      <c r="K269" s="129" t="str" cm="1">
        <f t="array" ref="K269">IF(AND(I269&lt;7,INDEX(B_tblFTMatrix,$E269,$H269)="x"),"ft","")</f>
        <v/>
      </c>
      <c r="L269" s="129"/>
      <c r="M269" s="129"/>
      <c r="N269" s="129">
        <f t="shared" si="68"/>
        <v>1</v>
      </c>
      <c r="O269" s="129">
        <f t="shared" si="78"/>
        <v>1</v>
      </c>
      <c r="P269" s="231">
        <f t="shared" si="69"/>
        <v>8</v>
      </c>
      <c r="Q269" s="233" cm="1">
        <f t="array" ref="Q269">SUMPRODUCT((H_tblBGTage=I269)*(H_tblBGMnt=E269)*H_tblBG%)</f>
        <v>1</v>
      </c>
      <c r="R269" s="231">
        <f t="shared" si="79"/>
        <v>8</v>
      </c>
      <c r="S269" s="237"/>
      <c r="T269" s="237"/>
      <c r="U269" s="236" cm="1">
        <f t="array" ref="U269">SUMPRODUCT((SEP!M_Verweiszeile=$H269)*SEP!M_ProdTag*(SEP!M_Monat=$E269))</f>
        <v>0</v>
      </c>
      <c r="V269" s="236" cm="1">
        <f t="array" ref="V269">SUMPRODUCT((SEP!M_Verweiszeile=$H269)*SEP!M_ProdN1*(SEP!M_Monat=$E269))</f>
        <v>0</v>
      </c>
      <c r="W269" s="236" cm="1">
        <f t="array" ref="W269">SUMPRODUCT((SEP!M_Verweiszeile=$H269)*SEP!M_ProdN2*(SEP!M_Monat=$E269))</f>
        <v>0</v>
      </c>
      <c r="X269" s="236">
        <f t="shared" si="80"/>
        <v>0</v>
      </c>
      <c r="Y269" s="236">
        <f t="shared" si="70"/>
        <v>0</v>
      </c>
      <c r="Z269" s="236">
        <f t="shared" si="71"/>
        <v>0</v>
      </c>
      <c r="AA269" s="236">
        <f t="shared" si="81"/>
        <v>0</v>
      </c>
      <c r="AB269" s="236">
        <f t="shared" si="82"/>
        <v>0</v>
      </c>
      <c r="AC269" s="236">
        <f t="shared" si="83"/>
        <v>0</v>
      </c>
    </row>
    <row r="270" spans="3:29" s="189" customFormat="1" x14ac:dyDescent="0.2">
      <c r="C270" s="129">
        <v>261</v>
      </c>
      <c r="D270" s="190">
        <f t="shared" si="84"/>
        <v>45552</v>
      </c>
      <c r="E270" s="129">
        <f t="shared" si="72"/>
        <v>9</v>
      </c>
      <c r="F270" s="191">
        <f t="shared" si="73"/>
        <v>45552</v>
      </c>
      <c r="G270" s="129">
        <f t="shared" si="74"/>
        <v>38</v>
      </c>
      <c r="H270" s="129">
        <f t="shared" si="75"/>
        <v>17</v>
      </c>
      <c r="I270" s="129">
        <f t="shared" si="76"/>
        <v>2</v>
      </c>
      <c r="J270" s="192">
        <f t="shared" si="77"/>
        <v>45552</v>
      </c>
      <c r="K270" s="129" t="str" cm="1">
        <f t="array" ref="K270">IF(AND(I270&lt;7,INDEX(B_tblFTMatrix,$E270,$H270)="x"),"ft","")</f>
        <v/>
      </c>
      <c r="L270" s="129"/>
      <c r="M270" s="129"/>
      <c r="N270" s="129">
        <f t="shared" si="68"/>
        <v>1</v>
      </c>
      <c r="O270" s="129">
        <f t="shared" si="78"/>
        <v>1</v>
      </c>
      <c r="P270" s="231">
        <f t="shared" si="69"/>
        <v>8</v>
      </c>
      <c r="Q270" s="233" cm="1">
        <f t="array" ref="Q270">SUMPRODUCT((H_tblBGTage=I270)*(H_tblBGMnt=E270)*H_tblBG%)</f>
        <v>1</v>
      </c>
      <c r="R270" s="231">
        <f t="shared" si="79"/>
        <v>8</v>
      </c>
      <c r="S270" s="237"/>
      <c r="T270" s="237"/>
      <c r="U270" s="236" cm="1">
        <f t="array" ref="U270">SUMPRODUCT((SEP!M_Verweiszeile=$H270)*SEP!M_ProdTag*(SEP!M_Monat=$E270))</f>
        <v>0</v>
      </c>
      <c r="V270" s="236" cm="1">
        <f t="array" ref="V270">SUMPRODUCT((SEP!M_Verweiszeile=$H270)*SEP!M_ProdN1*(SEP!M_Monat=$E270))</f>
        <v>0</v>
      </c>
      <c r="W270" s="236" cm="1">
        <f t="array" ref="W270">SUMPRODUCT((SEP!M_Verweiszeile=$H270)*SEP!M_ProdN2*(SEP!M_Monat=$E270))</f>
        <v>0</v>
      </c>
      <c r="X270" s="236">
        <f t="shared" si="80"/>
        <v>0</v>
      </c>
      <c r="Y270" s="236">
        <f t="shared" si="70"/>
        <v>0</v>
      </c>
      <c r="Z270" s="236">
        <f t="shared" si="71"/>
        <v>0</v>
      </c>
      <c r="AA270" s="236">
        <f t="shared" si="81"/>
        <v>0</v>
      </c>
      <c r="AB270" s="236">
        <f t="shared" si="82"/>
        <v>0</v>
      </c>
      <c r="AC270" s="236">
        <f t="shared" si="83"/>
        <v>0</v>
      </c>
    </row>
    <row r="271" spans="3:29" s="189" customFormat="1" x14ac:dyDescent="0.2">
      <c r="C271" s="129">
        <v>262</v>
      </c>
      <c r="D271" s="190">
        <f t="shared" si="84"/>
        <v>45553</v>
      </c>
      <c r="E271" s="129">
        <f t="shared" si="72"/>
        <v>9</v>
      </c>
      <c r="F271" s="191">
        <f t="shared" si="73"/>
        <v>45553</v>
      </c>
      <c r="G271" s="129">
        <f t="shared" si="74"/>
        <v>38</v>
      </c>
      <c r="H271" s="129">
        <f t="shared" si="75"/>
        <v>18</v>
      </c>
      <c r="I271" s="129">
        <f t="shared" si="76"/>
        <v>3</v>
      </c>
      <c r="J271" s="192">
        <f t="shared" si="77"/>
        <v>45553</v>
      </c>
      <c r="K271" s="129" t="str" cm="1">
        <f t="array" ref="K271">IF(AND(I271&lt;7,INDEX(B_tblFTMatrix,$E271,$H271)="x"),"ft","")</f>
        <v/>
      </c>
      <c r="L271" s="129"/>
      <c r="M271" s="129"/>
      <c r="N271" s="129">
        <f t="shared" si="68"/>
        <v>1</v>
      </c>
      <c r="O271" s="129">
        <f t="shared" si="78"/>
        <v>1</v>
      </c>
      <c r="P271" s="231">
        <f t="shared" si="69"/>
        <v>8</v>
      </c>
      <c r="Q271" s="233" cm="1">
        <f t="array" ref="Q271">SUMPRODUCT((H_tblBGTage=I271)*(H_tblBGMnt=E271)*H_tblBG%)</f>
        <v>1</v>
      </c>
      <c r="R271" s="231">
        <f t="shared" si="79"/>
        <v>8</v>
      </c>
      <c r="S271" s="237"/>
      <c r="T271" s="237"/>
      <c r="U271" s="236" cm="1">
        <f t="array" ref="U271">SUMPRODUCT((SEP!M_Verweiszeile=$H271)*SEP!M_ProdTag*(SEP!M_Monat=$E271))</f>
        <v>0</v>
      </c>
      <c r="V271" s="236" cm="1">
        <f t="array" ref="V271">SUMPRODUCT((SEP!M_Verweiszeile=$H271)*SEP!M_ProdN1*(SEP!M_Monat=$E271))</f>
        <v>0</v>
      </c>
      <c r="W271" s="236" cm="1">
        <f t="array" ref="W271">SUMPRODUCT((SEP!M_Verweiszeile=$H271)*SEP!M_ProdN2*(SEP!M_Monat=$E271))</f>
        <v>0</v>
      </c>
      <c r="X271" s="236">
        <f t="shared" si="80"/>
        <v>0</v>
      </c>
      <c r="Y271" s="236">
        <f t="shared" si="70"/>
        <v>0</v>
      </c>
      <c r="Z271" s="236">
        <f t="shared" si="71"/>
        <v>0</v>
      </c>
      <c r="AA271" s="236">
        <f t="shared" si="81"/>
        <v>0</v>
      </c>
      <c r="AB271" s="236">
        <f t="shared" si="82"/>
        <v>0</v>
      </c>
      <c r="AC271" s="236">
        <f t="shared" si="83"/>
        <v>0</v>
      </c>
    </row>
    <row r="272" spans="3:29" s="189" customFormat="1" x14ac:dyDescent="0.2">
      <c r="C272" s="129">
        <v>263</v>
      </c>
      <c r="D272" s="190">
        <f t="shared" si="84"/>
        <v>45554</v>
      </c>
      <c r="E272" s="129">
        <f t="shared" si="72"/>
        <v>9</v>
      </c>
      <c r="F272" s="191">
        <f t="shared" si="73"/>
        <v>45554</v>
      </c>
      <c r="G272" s="129">
        <f t="shared" si="74"/>
        <v>38</v>
      </c>
      <c r="H272" s="129">
        <f t="shared" si="75"/>
        <v>19</v>
      </c>
      <c r="I272" s="129">
        <f t="shared" si="76"/>
        <v>4</v>
      </c>
      <c r="J272" s="192">
        <f t="shared" si="77"/>
        <v>45554</v>
      </c>
      <c r="K272" s="129" t="str" cm="1">
        <f t="array" ref="K272">IF(AND(I272&lt;7,INDEX(B_tblFTMatrix,$E272,$H272)="x"),"ft","")</f>
        <v/>
      </c>
      <c r="L272" s="129"/>
      <c r="M272" s="129"/>
      <c r="N272" s="129">
        <f t="shared" si="68"/>
        <v>1</v>
      </c>
      <c r="O272" s="129">
        <f t="shared" si="78"/>
        <v>1</v>
      </c>
      <c r="P272" s="231">
        <f t="shared" si="69"/>
        <v>8</v>
      </c>
      <c r="Q272" s="233" cm="1">
        <f t="array" ref="Q272">SUMPRODUCT((H_tblBGTage=I272)*(H_tblBGMnt=E272)*H_tblBG%)</f>
        <v>1</v>
      </c>
      <c r="R272" s="231">
        <f t="shared" si="79"/>
        <v>8</v>
      </c>
      <c r="S272" s="237"/>
      <c r="T272" s="237"/>
      <c r="U272" s="236" cm="1">
        <f t="array" ref="U272">SUMPRODUCT((SEP!M_Verweiszeile=$H272)*SEP!M_ProdTag*(SEP!M_Monat=$E272))</f>
        <v>0</v>
      </c>
      <c r="V272" s="236" cm="1">
        <f t="array" ref="V272">SUMPRODUCT((SEP!M_Verweiszeile=$H272)*SEP!M_ProdN1*(SEP!M_Monat=$E272))</f>
        <v>0</v>
      </c>
      <c r="W272" s="236" cm="1">
        <f t="array" ref="W272">SUMPRODUCT((SEP!M_Verweiszeile=$H272)*SEP!M_ProdN2*(SEP!M_Monat=$E272))</f>
        <v>0</v>
      </c>
      <c r="X272" s="236">
        <f t="shared" si="80"/>
        <v>0</v>
      </c>
      <c r="Y272" s="236">
        <f t="shared" si="70"/>
        <v>0</v>
      </c>
      <c r="Z272" s="236">
        <f t="shared" si="71"/>
        <v>0</v>
      </c>
      <c r="AA272" s="236">
        <f t="shared" si="81"/>
        <v>0</v>
      </c>
      <c r="AB272" s="236">
        <f t="shared" si="82"/>
        <v>0</v>
      </c>
      <c r="AC272" s="236">
        <f t="shared" si="83"/>
        <v>0</v>
      </c>
    </row>
    <row r="273" spans="3:29" s="189" customFormat="1" x14ac:dyDescent="0.2">
      <c r="C273" s="129">
        <v>264</v>
      </c>
      <c r="D273" s="190">
        <f t="shared" si="84"/>
        <v>45555</v>
      </c>
      <c r="E273" s="129">
        <f t="shared" si="72"/>
        <v>9</v>
      </c>
      <c r="F273" s="191">
        <f t="shared" si="73"/>
        <v>45555</v>
      </c>
      <c r="G273" s="129">
        <f t="shared" si="74"/>
        <v>38</v>
      </c>
      <c r="H273" s="129">
        <f t="shared" si="75"/>
        <v>20</v>
      </c>
      <c r="I273" s="129">
        <f t="shared" si="76"/>
        <v>5</v>
      </c>
      <c r="J273" s="192">
        <f t="shared" si="77"/>
        <v>45555</v>
      </c>
      <c r="K273" s="129" t="str" cm="1">
        <f t="array" ref="K273">IF(AND(I273&lt;7,INDEX(B_tblFTMatrix,$E273,$H273)="x"),"ft","")</f>
        <v/>
      </c>
      <c r="L273" s="129"/>
      <c r="M273" s="129"/>
      <c r="N273" s="129">
        <f t="shared" si="68"/>
        <v>1</v>
      </c>
      <c r="O273" s="129">
        <f t="shared" si="78"/>
        <v>1</v>
      </c>
      <c r="P273" s="231">
        <f t="shared" si="69"/>
        <v>8</v>
      </c>
      <c r="Q273" s="233" cm="1">
        <f t="array" ref="Q273">SUMPRODUCT((H_tblBGTage=I273)*(H_tblBGMnt=E273)*H_tblBG%)</f>
        <v>1</v>
      </c>
      <c r="R273" s="231">
        <f t="shared" si="79"/>
        <v>8</v>
      </c>
      <c r="S273" s="237"/>
      <c r="T273" s="237"/>
      <c r="U273" s="236" cm="1">
        <f t="array" ref="U273">SUMPRODUCT((SEP!M_Verweiszeile=$H273)*SEP!M_ProdTag*(SEP!M_Monat=$E273))</f>
        <v>0</v>
      </c>
      <c r="V273" s="236" cm="1">
        <f t="array" ref="V273">SUMPRODUCT((SEP!M_Verweiszeile=$H273)*SEP!M_ProdN1*(SEP!M_Monat=$E273))</f>
        <v>0</v>
      </c>
      <c r="W273" s="236" cm="1">
        <f t="array" ref="W273">SUMPRODUCT((SEP!M_Verweiszeile=$H273)*SEP!M_ProdN2*(SEP!M_Monat=$E273))</f>
        <v>0</v>
      </c>
      <c r="X273" s="236">
        <f t="shared" si="80"/>
        <v>0</v>
      </c>
      <c r="Y273" s="236">
        <f t="shared" si="70"/>
        <v>0</v>
      </c>
      <c r="Z273" s="236">
        <f t="shared" si="71"/>
        <v>0</v>
      </c>
      <c r="AA273" s="236">
        <f t="shared" si="81"/>
        <v>0</v>
      </c>
      <c r="AB273" s="236">
        <f t="shared" si="82"/>
        <v>0</v>
      </c>
      <c r="AC273" s="236">
        <f t="shared" si="83"/>
        <v>0</v>
      </c>
    </row>
    <row r="274" spans="3:29" s="189" customFormat="1" x14ac:dyDescent="0.2">
      <c r="C274" s="129">
        <v>265</v>
      </c>
      <c r="D274" s="190">
        <f t="shared" si="84"/>
        <v>45556</v>
      </c>
      <c r="E274" s="129">
        <f t="shared" si="72"/>
        <v>9</v>
      </c>
      <c r="F274" s="191">
        <f t="shared" si="73"/>
        <v>45556</v>
      </c>
      <c r="G274" s="129">
        <f t="shared" si="74"/>
        <v>38</v>
      </c>
      <c r="H274" s="129">
        <f t="shared" si="75"/>
        <v>21</v>
      </c>
      <c r="I274" s="129">
        <f t="shared" si="76"/>
        <v>6</v>
      </c>
      <c r="J274" s="192">
        <f t="shared" si="77"/>
        <v>45556</v>
      </c>
      <c r="K274" s="129" t="str" cm="1">
        <f t="array" ref="K274">IF(AND(I274&lt;7,INDEX(B_tblFTMatrix,$E274,$H274)="x"),"ft","")</f>
        <v/>
      </c>
      <c r="L274" s="129"/>
      <c r="M274" s="129"/>
      <c r="N274" s="129">
        <f t="shared" si="68"/>
        <v>0</v>
      </c>
      <c r="O274" s="129">
        <f t="shared" si="78"/>
        <v>0</v>
      </c>
      <c r="P274" s="231">
        <f t="shared" si="69"/>
        <v>0</v>
      </c>
      <c r="Q274" s="233" cm="1">
        <f t="array" ref="Q274">SUMPRODUCT((H_tblBGTage=I274)*(H_tblBGMnt=E274)*H_tblBG%)</f>
        <v>0</v>
      </c>
      <c r="R274" s="231">
        <f t="shared" si="79"/>
        <v>0</v>
      </c>
      <c r="S274" s="237"/>
      <c r="T274" s="237"/>
      <c r="U274" s="236" cm="1">
        <f t="array" ref="U274">SUMPRODUCT((SEP!M_Verweiszeile=$H274)*SEP!M_ProdTag*(SEP!M_Monat=$E274))</f>
        <v>0</v>
      </c>
      <c r="V274" s="236" cm="1">
        <f t="array" ref="V274">SUMPRODUCT((SEP!M_Verweiszeile=$H274)*SEP!M_ProdN1*(SEP!M_Monat=$E274))</f>
        <v>0</v>
      </c>
      <c r="W274" s="236" cm="1">
        <f t="array" ref="W274">SUMPRODUCT((SEP!M_Verweiszeile=$H274)*SEP!M_ProdN2*(SEP!M_Monat=$E274))</f>
        <v>0</v>
      </c>
      <c r="X274" s="236">
        <f t="shared" si="80"/>
        <v>0</v>
      </c>
      <c r="Y274" s="236">
        <f t="shared" si="70"/>
        <v>0</v>
      </c>
      <c r="Z274" s="236">
        <f t="shared" si="71"/>
        <v>0</v>
      </c>
      <c r="AA274" s="236">
        <f t="shared" si="81"/>
        <v>0</v>
      </c>
      <c r="AB274" s="236">
        <f t="shared" si="82"/>
        <v>0</v>
      </c>
      <c r="AC274" s="236">
        <f t="shared" si="83"/>
        <v>0</v>
      </c>
    </row>
    <row r="275" spans="3:29" s="189" customFormat="1" x14ac:dyDescent="0.2">
      <c r="C275" s="129">
        <v>266</v>
      </c>
      <c r="D275" s="190">
        <f t="shared" si="84"/>
        <v>45557</v>
      </c>
      <c r="E275" s="129">
        <f t="shared" si="72"/>
        <v>9</v>
      </c>
      <c r="F275" s="191">
        <f t="shared" si="73"/>
        <v>45557</v>
      </c>
      <c r="G275" s="129">
        <f t="shared" si="74"/>
        <v>38</v>
      </c>
      <c r="H275" s="129">
        <f t="shared" si="75"/>
        <v>22</v>
      </c>
      <c r="I275" s="129">
        <f t="shared" si="76"/>
        <v>7</v>
      </c>
      <c r="J275" s="192">
        <f t="shared" si="77"/>
        <v>45557</v>
      </c>
      <c r="K275" s="129" t="str" cm="1">
        <f t="array" ref="K275">IF(AND(I275&lt;7,INDEX(B_tblFTMatrix,$E275,$H275)="x"),"ft","")</f>
        <v/>
      </c>
      <c r="L275" s="129"/>
      <c r="M275" s="129"/>
      <c r="N275" s="129">
        <f t="shared" si="68"/>
        <v>0</v>
      </c>
      <c r="O275" s="129">
        <f t="shared" si="78"/>
        <v>0</v>
      </c>
      <c r="P275" s="231">
        <f t="shared" si="69"/>
        <v>0</v>
      </c>
      <c r="Q275" s="233" cm="1">
        <f t="array" ref="Q275">SUMPRODUCT((H_tblBGTage=I275)*(H_tblBGMnt=E275)*H_tblBG%)</f>
        <v>0</v>
      </c>
      <c r="R275" s="231">
        <f t="shared" si="79"/>
        <v>0</v>
      </c>
      <c r="S275" s="237"/>
      <c r="T275" s="237"/>
      <c r="U275" s="236" cm="1">
        <f t="array" ref="U275">SUMPRODUCT((SEP!M_Verweiszeile=$H275)*SEP!M_ProdTag*(SEP!M_Monat=$E275))</f>
        <v>0</v>
      </c>
      <c r="V275" s="236" cm="1">
        <f t="array" ref="V275">SUMPRODUCT((SEP!M_Verweiszeile=$H275)*SEP!M_ProdN1*(SEP!M_Monat=$E275))</f>
        <v>0</v>
      </c>
      <c r="W275" s="236" cm="1">
        <f t="array" ref="W275">SUMPRODUCT((SEP!M_Verweiszeile=$H275)*SEP!M_ProdN2*(SEP!M_Monat=$E275))</f>
        <v>0</v>
      </c>
      <c r="X275" s="236">
        <f t="shared" si="80"/>
        <v>0</v>
      </c>
      <c r="Y275" s="236">
        <f t="shared" si="70"/>
        <v>0</v>
      </c>
      <c r="Z275" s="236">
        <f t="shared" si="71"/>
        <v>0</v>
      </c>
      <c r="AA275" s="236">
        <f t="shared" si="81"/>
        <v>0</v>
      </c>
      <c r="AB275" s="236">
        <f t="shared" si="82"/>
        <v>0</v>
      </c>
      <c r="AC275" s="236">
        <f t="shared" si="83"/>
        <v>0</v>
      </c>
    </row>
    <row r="276" spans="3:29" s="189" customFormat="1" x14ac:dyDescent="0.2">
      <c r="C276" s="129">
        <v>267</v>
      </c>
      <c r="D276" s="190">
        <f t="shared" si="84"/>
        <v>45558</v>
      </c>
      <c r="E276" s="129">
        <f t="shared" si="72"/>
        <v>9</v>
      </c>
      <c r="F276" s="191">
        <f t="shared" si="73"/>
        <v>45558</v>
      </c>
      <c r="G276" s="129">
        <f t="shared" si="74"/>
        <v>39</v>
      </c>
      <c r="H276" s="129">
        <f t="shared" si="75"/>
        <v>23</v>
      </c>
      <c r="I276" s="129">
        <f t="shared" si="76"/>
        <v>1</v>
      </c>
      <c r="J276" s="192">
        <f t="shared" si="77"/>
        <v>45558</v>
      </c>
      <c r="K276" s="129" t="str" cm="1">
        <f t="array" ref="K276">IF(AND(I276&lt;7,INDEX(B_tblFTMatrix,$E276,$H276)="x"),"ft","")</f>
        <v/>
      </c>
      <c r="L276" s="129"/>
      <c r="M276" s="129"/>
      <c r="N276" s="129">
        <f t="shared" si="68"/>
        <v>1</v>
      </c>
      <c r="O276" s="129">
        <f t="shared" si="78"/>
        <v>1</v>
      </c>
      <c r="P276" s="231">
        <f t="shared" si="69"/>
        <v>8</v>
      </c>
      <c r="Q276" s="233" cm="1">
        <f t="array" ref="Q276">SUMPRODUCT((H_tblBGTage=I276)*(H_tblBGMnt=E276)*H_tblBG%)</f>
        <v>1</v>
      </c>
      <c r="R276" s="231">
        <f t="shared" si="79"/>
        <v>8</v>
      </c>
      <c r="S276" s="237"/>
      <c r="T276" s="237"/>
      <c r="U276" s="236" cm="1">
        <f t="array" ref="U276">SUMPRODUCT((SEP!M_Verweiszeile=$H276)*SEP!M_ProdTag*(SEP!M_Monat=$E276))</f>
        <v>0</v>
      </c>
      <c r="V276" s="236" cm="1">
        <f t="array" ref="V276">SUMPRODUCT((SEP!M_Verweiszeile=$H276)*SEP!M_ProdN1*(SEP!M_Monat=$E276))</f>
        <v>0</v>
      </c>
      <c r="W276" s="236" cm="1">
        <f t="array" ref="W276">SUMPRODUCT((SEP!M_Verweiszeile=$H276)*SEP!M_ProdN2*(SEP!M_Monat=$E276))</f>
        <v>0</v>
      </c>
      <c r="X276" s="236">
        <f t="shared" si="80"/>
        <v>0</v>
      </c>
      <c r="Y276" s="236">
        <f t="shared" si="70"/>
        <v>0</v>
      </c>
      <c r="Z276" s="236">
        <f t="shared" si="71"/>
        <v>0</v>
      </c>
      <c r="AA276" s="236">
        <f t="shared" si="81"/>
        <v>0</v>
      </c>
      <c r="AB276" s="236">
        <f t="shared" si="82"/>
        <v>0</v>
      </c>
      <c r="AC276" s="236">
        <f t="shared" si="83"/>
        <v>0</v>
      </c>
    </row>
    <row r="277" spans="3:29" s="189" customFormat="1" x14ac:dyDescent="0.2">
      <c r="C277" s="129">
        <v>268</v>
      </c>
      <c r="D277" s="190">
        <f t="shared" si="84"/>
        <v>45559</v>
      </c>
      <c r="E277" s="129">
        <f t="shared" si="72"/>
        <v>9</v>
      </c>
      <c r="F277" s="191">
        <f t="shared" si="73"/>
        <v>45559</v>
      </c>
      <c r="G277" s="129">
        <f t="shared" si="74"/>
        <v>39</v>
      </c>
      <c r="H277" s="129">
        <f t="shared" si="75"/>
        <v>24</v>
      </c>
      <c r="I277" s="129">
        <f t="shared" si="76"/>
        <v>2</v>
      </c>
      <c r="J277" s="192">
        <f t="shared" si="77"/>
        <v>45559</v>
      </c>
      <c r="K277" s="129" t="str" cm="1">
        <f t="array" ref="K277">IF(AND(I277&lt;7,INDEX(B_tblFTMatrix,$E277,$H277)="x"),"ft","")</f>
        <v/>
      </c>
      <c r="L277" s="129"/>
      <c r="M277" s="129"/>
      <c r="N277" s="129">
        <f t="shared" si="68"/>
        <v>1</v>
      </c>
      <c r="O277" s="129">
        <f t="shared" si="78"/>
        <v>1</v>
      </c>
      <c r="P277" s="231">
        <f t="shared" si="69"/>
        <v>8</v>
      </c>
      <c r="Q277" s="233" cm="1">
        <f t="array" ref="Q277">SUMPRODUCT((H_tblBGTage=I277)*(H_tblBGMnt=E277)*H_tblBG%)</f>
        <v>1</v>
      </c>
      <c r="R277" s="231">
        <f t="shared" si="79"/>
        <v>8</v>
      </c>
      <c r="S277" s="237"/>
      <c r="T277" s="237"/>
      <c r="U277" s="236" cm="1">
        <f t="array" ref="U277">SUMPRODUCT((SEP!M_Verweiszeile=$H277)*SEP!M_ProdTag*(SEP!M_Monat=$E277))</f>
        <v>0</v>
      </c>
      <c r="V277" s="236" cm="1">
        <f t="array" ref="V277">SUMPRODUCT((SEP!M_Verweiszeile=$H277)*SEP!M_ProdN1*(SEP!M_Monat=$E277))</f>
        <v>0</v>
      </c>
      <c r="W277" s="236" cm="1">
        <f t="array" ref="W277">SUMPRODUCT((SEP!M_Verweiszeile=$H277)*SEP!M_ProdN2*(SEP!M_Monat=$E277))</f>
        <v>0</v>
      </c>
      <c r="X277" s="236">
        <f t="shared" si="80"/>
        <v>0</v>
      </c>
      <c r="Y277" s="236">
        <f t="shared" si="70"/>
        <v>0</v>
      </c>
      <c r="Z277" s="236">
        <f t="shared" si="71"/>
        <v>0</v>
      </c>
      <c r="AA277" s="236">
        <f t="shared" si="81"/>
        <v>0</v>
      </c>
      <c r="AB277" s="236">
        <f t="shared" si="82"/>
        <v>0</v>
      </c>
      <c r="AC277" s="236">
        <f t="shared" si="83"/>
        <v>0</v>
      </c>
    </row>
    <row r="278" spans="3:29" s="189" customFormat="1" x14ac:dyDescent="0.2">
      <c r="C278" s="129">
        <v>269</v>
      </c>
      <c r="D278" s="190">
        <f t="shared" si="84"/>
        <v>45560</v>
      </c>
      <c r="E278" s="129">
        <f t="shared" si="72"/>
        <v>9</v>
      </c>
      <c r="F278" s="191">
        <f t="shared" si="73"/>
        <v>45560</v>
      </c>
      <c r="G278" s="129">
        <f t="shared" si="74"/>
        <v>39</v>
      </c>
      <c r="H278" s="129">
        <f t="shared" si="75"/>
        <v>25</v>
      </c>
      <c r="I278" s="129">
        <f t="shared" si="76"/>
        <v>3</v>
      </c>
      <c r="J278" s="192">
        <f t="shared" si="77"/>
        <v>45560</v>
      </c>
      <c r="K278" s="129" t="str" cm="1">
        <f t="array" ref="K278">IF(AND(I278&lt;7,INDEX(B_tblFTMatrix,$E278,$H278)="x"),"ft","")</f>
        <v/>
      </c>
      <c r="L278" s="129"/>
      <c r="M278" s="129"/>
      <c r="N278" s="129">
        <f t="shared" si="68"/>
        <v>1</v>
      </c>
      <c r="O278" s="129">
        <f t="shared" si="78"/>
        <v>1</v>
      </c>
      <c r="P278" s="231">
        <f t="shared" si="69"/>
        <v>8</v>
      </c>
      <c r="Q278" s="233" cm="1">
        <f t="array" ref="Q278">SUMPRODUCT((H_tblBGTage=I278)*(H_tblBGMnt=E278)*H_tblBG%)</f>
        <v>1</v>
      </c>
      <c r="R278" s="231">
        <f t="shared" si="79"/>
        <v>8</v>
      </c>
      <c r="S278" s="237"/>
      <c r="T278" s="237"/>
      <c r="U278" s="236" cm="1">
        <f t="array" ref="U278">SUMPRODUCT((SEP!M_Verweiszeile=$H278)*SEP!M_ProdTag*(SEP!M_Monat=$E278))</f>
        <v>0</v>
      </c>
      <c r="V278" s="236" cm="1">
        <f t="array" ref="V278">SUMPRODUCT((SEP!M_Verweiszeile=$H278)*SEP!M_ProdN1*(SEP!M_Monat=$E278))</f>
        <v>0</v>
      </c>
      <c r="W278" s="236" cm="1">
        <f t="array" ref="W278">SUMPRODUCT((SEP!M_Verweiszeile=$H278)*SEP!M_ProdN2*(SEP!M_Monat=$E278))</f>
        <v>0</v>
      </c>
      <c r="X278" s="236">
        <f t="shared" si="80"/>
        <v>0</v>
      </c>
      <c r="Y278" s="236">
        <f t="shared" si="70"/>
        <v>0</v>
      </c>
      <c r="Z278" s="236">
        <f t="shared" si="71"/>
        <v>0</v>
      </c>
      <c r="AA278" s="236">
        <f t="shared" si="81"/>
        <v>0</v>
      </c>
      <c r="AB278" s="236">
        <f t="shared" si="82"/>
        <v>0</v>
      </c>
      <c r="AC278" s="236">
        <f t="shared" si="83"/>
        <v>0</v>
      </c>
    </row>
    <row r="279" spans="3:29" s="189" customFormat="1" x14ac:dyDescent="0.2">
      <c r="C279" s="129">
        <v>270</v>
      </c>
      <c r="D279" s="190">
        <f t="shared" si="84"/>
        <v>45561</v>
      </c>
      <c r="E279" s="129">
        <f t="shared" si="72"/>
        <v>9</v>
      </c>
      <c r="F279" s="191">
        <f t="shared" si="73"/>
        <v>45561</v>
      </c>
      <c r="G279" s="129">
        <f t="shared" si="74"/>
        <v>39</v>
      </c>
      <c r="H279" s="129">
        <f t="shared" si="75"/>
        <v>26</v>
      </c>
      <c r="I279" s="129">
        <f t="shared" si="76"/>
        <v>4</v>
      </c>
      <c r="J279" s="192">
        <f t="shared" si="77"/>
        <v>45561</v>
      </c>
      <c r="K279" s="129" t="str" cm="1">
        <f t="array" ref="K279">IF(AND(I279&lt;7,INDEX(B_tblFTMatrix,$E279,$H279)="x"),"ft","")</f>
        <v/>
      </c>
      <c r="L279" s="129"/>
      <c r="M279" s="129"/>
      <c r="N279" s="129">
        <f t="shared" si="68"/>
        <v>1</v>
      </c>
      <c r="O279" s="129">
        <f t="shared" si="78"/>
        <v>1</v>
      </c>
      <c r="P279" s="231">
        <f t="shared" si="69"/>
        <v>8</v>
      </c>
      <c r="Q279" s="233" cm="1">
        <f t="array" ref="Q279">SUMPRODUCT((H_tblBGTage=I279)*(H_tblBGMnt=E279)*H_tblBG%)</f>
        <v>1</v>
      </c>
      <c r="R279" s="231">
        <f t="shared" si="79"/>
        <v>8</v>
      </c>
      <c r="S279" s="237"/>
      <c r="T279" s="237"/>
      <c r="U279" s="236" cm="1">
        <f t="array" ref="U279">SUMPRODUCT((SEP!M_Verweiszeile=$H279)*SEP!M_ProdTag*(SEP!M_Monat=$E279))</f>
        <v>0</v>
      </c>
      <c r="V279" s="236" cm="1">
        <f t="array" ref="V279">SUMPRODUCT((SEP!M_Verweiszeile=$H279)*SEP!M_ProdN1*(SEP!M_Monat=$E279))</f>
        <v>0</v>
      </c>
      <c r="W279" s="236" cm="1">
        <f t="array" ref="W279">SUMPRODUCT((SEP!M_Verweiszeile=$H279)*SEP!M_ProdN2*(SEP!M_Monat=$E279))</f>
        <v>0</v>
      </c>
      <c r="X279" s="236">
        <f t="shared" si="80"/>
        <v>0</v>
      </c>
      <c r="Y279" s="236">
        <f t="shared" si="70"/>
        <v>0</v>
      </c>
      <c r="Z279" s="236">
        <f t="shared" si="71"/>
        <v>0</v>
      </c>
      <c r="AA279" s="236">
        <f t="shared" si="81"/>
        <v>0</v>
      </c>
      <c r="AB279" s="236">
        <f t="shared" si="82"/>
        <v>0</v>
      </c>
      <c r="AC279" s="236">
        <f t="shared" si="83"/>
        <v>0</v>
      </c>
    </row>
    <row r="280" spans="3:29" s="189" customFormat="1" x14ac:dyDescent="0.2">
      <c r="C280" s="129">
        <v>271</v>
      </c>
      <c r="D280" s="190">
        <f t="shared" si="84"/>
        <v>45562</v>
      </c>
      <c r="E280" s="129">
        <f t="shared" si="72"/>
        <v>9</v>
      </c>
      <c r="F280" s="191">
        <f t="shared" si="73"/>
        <v>45562</v>
      </c>
      <c r="G280" s="129">
        <f t="shared" si="74"/>
        <v>39</v>
      </c>
      <c r="H280" s="129">
        <f t="shared" si="75"/>
        <v>27</v>
      </c>
      <c r="I280" s="129">
        <f t="shared" si="76"/>
        <v>5</v>
      </c>
      <c r="J280" s="192">
        <f t="shared" si="77"/>
        <v>45562</v>
      </c>
      <c r="K280" s="129" t="str" cm="1">
        <f t="array" ref="K280">IF(AND(I280&lt;7,INDEX(B_tblFTMatrix,$E280,$H280)="x"),"ft","")</f>
        <v/>
      </c>
      <c r="L280" s="129"/>
      <c r="M280" s="129"/>
      <c r="N280" s="129">
        <f t="shared" si="68"/>
        <v>1</v>
      </c>
      <c r="O280" s="129">
        <f t="shared" si="78"/>
        <v>1</v>
      </c>
      <c r="P280" s="231">
        <f t="shared" si="69"/>
        <v>8</v>
      </c>
      <c r="Q280" s="233" cm="1">
        <f t="array" ref="Q280">SUMPRODUCT((H_tblBGTage=I280)*(H_tblBGMnt=E280)*H_tblBG%)</f>
        <v>1</v>
      </c>
      <c r="R280" s="231">
        <f t="shared" si="79"/>
        <v>8</v>
      </c>
      <c r="S280" s="237"/>
      <c r="T280" s="237"/>
      <c r="U280" s="236" cm="1">
        <f t="array" ref="U280">SUMPRODUCT((SEP!M_Verweiszeile=$H280)*SEP!M_ProdTag*(SEP!M_Monat=$E280))</f>
        <v>0</v>
      </c>
      <c r="V280" s="236" cm="1">
        <f t="array" ref="V280">SUMPRODUCT((SEP!M_Verweiszeile=$H280)*SEP!M_ProdN1*(SEP!M_Monat=$E280))</f>
        <v>0</v>
      </c>
      <c r="W280" s="236" cm="1">
        <f t="array" ref="W280">SUMPRODUCT((SEP!M_Verweiszeile=$H280)*SEP!M_ProdN2*(SEP!M_Monat=$E280))</f>
        <v>0</v>
      </c>
      <c r="X280" s="236">
        <f t="shared" si="80"/>
        <v>0</v>
      </c>
      <c r="Y280" s="236">
        <f t="shared" si="70"/>
        <v>0</v>
      </c>
      <c r="Z280" s="236">
        <f t="shared" si="71"/>
        <v>0</v>
      </c>
      <c r="AA280" s="236">
        <f t="shared" si="81"/>
        <v>0</v>
      </c>
      <c r="AB280" s="236">
        <f t="shared" si="82"/>
        <v>0</v>
      </c>
      <c r="AC280" s="236">
        <f t="shared" si="83"/>
        <v>0</v>
      </c>
    </row>
    <row r="281" spans="3:29" s="189" customFormat="1" x14ac:dyDescent="0.2">
      <c r="C281" s="129">
        <v>272</v>
      </c>
      <c r="D281" s="190">
        <f t="shared" si="84"/>
        <v>45563</v>
      </c>
      <c r="E281" s="129">
        <f t="shared" si="72"/>
        <v>9</v>
      </c>
      <c r="F281" s="191">
        <f t="shared" si="73"/>
        <v>45563</v>
      </c>
      <c r="G281" s="129">
        <f t="shared" si="74"/>
        <v>39</v>
      </c>
      <c r="H281" s="129">
        <f t="shared" si="75"/>
        <v>28</v>
      </c>
      <c r="I281" s="129">
        <f t="shared" si="76"/>
        <v>6</v>
      </c>
      <c r="J281" s="192">
        <f t="shared" si="77"/>
        <v>45563</v>
      </c>
      <c r="K281" s="129" t="str" cm="1">
        <f t="array" ref="K281">IF(AND(I281&lt;7,INDEX(B_tblFTMatrix,$E281,$H281)="x"),"ft","")</f>
        <v/>
      </c>
      <c r="L281" s="129"/>
      <c r="M281" s="129"/>
      <c r="N281" s="129">
        <f t="shared" si="68"/>
        <v>0</v>
      </c>
      <c r="O281" s="129">
        <f t="shared" si="78"/>
        <v>0</v>
      </c>
      <c r="P281" s="231">
        <f t="shared" si="69"/>
        <v>0</v>
      </c>
      <c r="Q281" s="233" cm="1">
        <f t="array" ref="Q281">SUMPRODUCT((H_tblBGTage=I281)*(H_tblBGMnt=E281)*H_tblBG%)</f>
        <v>0</v>
      </c>
      <c r="R281" s="231">
        <f t="shared" si="79"/>
        <v>0</v>
      </c>
      <c r="S281" s="237"/>
      <c r="T281" s="237"/>
      <c r="U281" s="236" cm="1">
        <f t="array" ref="U281">SUMPRODUCT((SEP!M_Verweiszeile=$H281)*SEP!M_ProdTag*(SEP!M_Monat=$E281))</f>
        <v>0</v>
      </c>
      <c r="V281" s="236" cm="1">
        <f t="array" ref="V281">SUMPRODUCT((SEP!M_Verweiszeile=$H281)*SEP!M_ProdN1*(SEP!M_Monat=$E281))</f>
        <v>0</v>
      </c>
      <c r="W281" s="236" cm="1">
        <f t="array" ref="W281">SUMPRODUCT((SEP!M_Verweiszeile=$H281)*SEP!M_ProdN2*(SEP!M_Monat=$E281))</f>
        <v>0</v>
      </c>
      <c r="X281" s="236">
        <f t="shared" si="80"/>
        <v>0</v>
      </c>
      <c r="Y281" s="236">
        <f t="shared" si="70"/>
        <v>0</v>
      </c>
      <c r="Z281" s="236">
        <f t="shared" si="71"/>
        <v>0</v>
      </c>
      <c r="AA281" s="236">
        <f t="shared" si="81"/>
        <v>0</v>
      </c>
      <c r="AB281" s="236">
        <f t="shared" si="82"/>
        <v>0</v>
      </c>
      <c r="AC281" s="236">
        <f t="shared" si="83"/>
        <v>0</v>
      </c>
    </row>
    <row r="282" spans="3:29" s="189" customFormat="1" x14ac:dyDescent="0.2">
      <c r="C282" s="129">
        <v>273</v>
      </c>
      <c r="D282" s="190">
        <f t="shared" si="84"/>
        <v>45564</v>
      </c>
      <c r="E282" s="129">
        <f t="shared" si="72"/>
        <v>9</v>
      </c>
      <c r="F282" s="191">
        <f t="shared" si="73"/>
        <v>45564</v>
      </c>
      <c r="G282" s="129">
        <f t="shared" si="74"/>
        <v>39</v>
      </c>
      <c r="H282" s="129">
        <f t="shared" si="75"/>
        <v>29</v>
      </c>
      <c r="I282" s="129">
        <f t="shared" si="76"/>
        <v>7</v>
      </c>
      <c r="J282" s="192">
        <f t="shared" si="77"/>
        <v>45564</v>
      </c>
      <c r="K282" s="129" t="str" cm="1">
        <f t="array" ref="K282">IF(AND(I282&lt;7,INDEX(B_tblFTMatrix,$E282,$H282)="x"),"ft","")</f>
        <v/>
      </c>
      <c r="L282" s="129"/>
      <c r="M282" s="129"/>
      <c r="N282" s="129">
        <f t="shared" si="68"/>
        <v>0</v>
      </c>
      <c r="O282" s="129">
        <f t="shared" si="78"/>
        <v>0</v>
      </c>
      <c r="P282" s="231">
        <f t="shared" si="69"/>
        <v>0</v>
      </c>
      <c r="Q282" s="233" cm="1">
        <f t="array" ref="Q282">SUMPRODUCT((H_tblBGTage=I282)*(H_tblBGMnt=E282)*H_tblBG%)</f>
        <v>0</v>
      </c>
      <c r="R282" s="231">
        <f t="shared" si="79"/>
        <v>0</v>
      </c>
      <c r="S282" s="237"/>
      <c r="T282" s="237"/>
      <c r="U282" s="236" cm="1">
        <f t="array" ref="U282">SUMPRODUCT((SEP!M_Verweiszeile=$H282)*SEP!M_ProdTag*(SEP!M_Monat=$E282))</f>
        <v>0</v>
      </c>
      <c r="V282" s="236" cm="1">
        <f t="array" ref="V282">SUMPRODUCT((SEP!M_Verweiszeile=$H282)*SEP!M_ProdN1*(SEP!M_Monat=$E282))</f>
        <v>0</v>
      </c>
      <c r="W282" s="236" cm="1">
        <f t="array" ref="W282">SUMPRODUCT((SEP!M_Verweiszeile=$H282)*SEP!M_ProdN2*(SEP!M_Monat=$E282))</f>
        <v>0</v>
      </c>
      <c r="X282" s="236">
        <f t="shared" si="80"/>
        <v>0</v>
      </c>
      <c r="Y282" s="236">
        <f t="shared" si="70"/>
        <v>0</v>
      </c>
      <c r="Z282" s="236">
        <f t="shared" si="71"/>
        <v>0</v>
      </c>
      <c r="AA282" s="236">
        <f t="shared" si="81"/>
        <v>0</v>
      </c>
      <c r="AB282" s="236">
        <f t="shared" si="82"/>
        <v>0</v>
      </c>
      <c r="AC282" s="236">
        <f t="shared" si="83"/>
        <v>0</v>
      </c>
    </row>
    <row r="283" spans="3:29" s="189" customFormat="1" x14ac:dyDescent="0.2">
      <c r="C283" s="129">
        <v>274</v>
      </c>
      <c r="D283" s="190">
        <f t="shared" si="84"/>
        <v>45565</v>
      </c>
      <c r="E283" s="129">
        <f t="shared" si="72"/>
        <v>9</v>
      </c>
      <c r="F283" s="191">
        <f t="shared" si="73"/>
        <v>45565</v>
      </c>
      <c r="G283" s="129">
        <f t="shared" si="74"/>
        <v>40</v>
      </c>
      <c r="H283" s="129">
        <f t="shared" si="75"/>
        <v>30</v>
      </c>
      <c r="I283" s="129">
        <f t="shared" si="76"/>
        <v>1</v>
      </c>
      <c r="J283" s="192">
        <f t="shared" si="77"/>
        <v>45565</v>
      </c>
      <c r="K283" s="129" t="str" cm="1">
        <f t="array" ref="K283">IF(AND(I283&lt;7,INDEX(B_tblFTMatrix,$E283,$H283)="x"),"ft","")</f>
        <v/>
      </c>
      <c r="L283" s="129"/>
      <c r="M283" s="129"/>
      <c r="N283" s="129">
        <f t="shared" si="68"/>
        <v>1</v>
      </c>
      <c r="O283" s="129">
        <f t="shared" si="78"/>
        <v>1</v>
      </c>
      <c r="P283" s="231">
        <f t="shared" si="69"/>
        <v>8</v>
      </c>
      <c r="Q283" s="233" cm="1">
        <f t="array" ref="Q283">SUMPRODUCT((H_tblBGTage=I283)*(H_tblBGMnt=E283)*H_tblBG%)</f>
        <v>1</v>
      </c>
      <c r="R283" s="231">
        <f t="shared" si="79"/>
        <v>8</v>
      </c>
      <c r="S283" s="237"/>
      <c r="T283" s="237"/>
      <c r="U283" s="320" cm="1">
        <f t="array" ref="U283">SUMPRODUCT((SEP!M_Verweiszeile=$H283)*SEP!M_ProdTag*(SEP!M_Monat=$E283))+SUMPRODUCT((OKT!M_Verweiszeile=$H283)*OKT!M_ProdTag*(OKT!M_Monat=$E283))</f>
        <v>0</v>
      </c>
      <c r="V283" s="236" cm="1">
        <f t="array" ref="V283">SUMPRODUCT((SEP!M_Verweiszeile=$H283)*SEP!M_ProdN1*(SEP!M_Monat=$E283))+SUMPRODUCT((OKT!M_Verweiszeile=$H283)*OKT!M_ProdN1*(OKT!M_Monat=$E283))</f>
        <v>0</v>
      </c>
      <c r="W283" s="236" cm="1">
        <f t="array" ref="W283">SUMPRODUCT((SEP!M_Verweiszeile=$H283)*SEP!M_ProdN2*(SEP!M_Monat=$E283))+SUMPRODUCT((OKT!M_Verweiszeile=$H283)*OKT!M_ProdN2*(OKT!M_Monat=$E283))</f>
        <v>0</v>
      </c>
      <c r="X283" s="236">
        <f t="shared" si="80"/>
        <v>0</v>
      </c>
      <c r="Y283" s="236">
        <f t="shared" si="70"/>
        <v>0</v>
      </c>
      <c r="Z283" s="236">
        <f t="shared" si="71"/>
        <v>0</v>
      </c>
      <c r="AA283" s="236">
        <f t="shared" si="81"/>
        <v>0</v>
      </c>
      <c r="AB283" s="236">
        <f t="shared" si="82"/>
        <v>0</v>
      </c>
      <c r="AC283" s="236">
        <f t="shared" si="83"/>
        <v>0</v>
      </c>
    </row>
    <row r="284" spans="3:29" s="189" customFormat="1" x14ac:dyDescent="0.2">
      <c r="C284" s="129">
        <v>275</v>
      </c>
      <c r="D284" s="190">
        <f t="shared" si="84"/>
        <v>45566</v>
      </c>
      <c r="E284" s="129">
        <f t="shared" si="72"/>
        <v>10</v>
      </c>
      <c r="F284" s="191">
        <f t="shared" si="73"/>
        <v>45566</v>
      </c>
      <c r="G284" s="129">
        <f t="shared" si="74"/>
        <v>40</v>
      </c>
      <c r="H284" s="129">
        <f t="shared" si="75"/>
        <v>1</v>
      </c>
      <c r="I284" s="129">
        <f t="shared" si="76"/>
        <v>2</v>
      </c>
      <c r="J284" s="192">
        <f t="shared" si="77"/>
        <v>45566</v>
      </c>
      <c r="K284" s="129" t="str" cm="1">
        <f t="array" ref="K284">IF(AND(I284&lt;7,INDEX(B_tblFTMatrix,$E284,$H284)="x"),"ft","")</f>
        <v/>
      </c>
      <c r="L284" s="129"/>
      <c r="M284" s="129"/>
      <c r="N284" s="129">
        <f t="shared" si="68"/>
        <v>1</v>
      </c>
      <c r="O284" s="129">
        <f t="shared" si="78"/>
        <v>1</v>
      </c>
      <c r="P284" s="231">
        <f t="shared" si="69"/>
        <v>8</v>
      </c>
      <c r="Q284" s="233" cm="1">
        <f t="array" ref="Q284">SUMPRODUCT((H_tblBGTage=I284)*(H_tblBGMnt=E284)*H_tblBG%)</f>
        <v>1</v>
      </c>
      <c r="R284" s="231">
        <f t="shared" si="79"/>
        <v>8</v>
      </c>
      <c r="S284" s="237"/>
      <c r="T284" s="237"/>
      <c r="U284" s="319" cm="1">
        <f t="array" ref="U284">SUMPRODUCT((OKT!M_Verweiszeile=$H284)*OKT!M_ProdTag*(OKT!M_Monat=$E284))</f>
        <v>0</v>
      </c>
      <c r="V284" s="236" cm="1">
        <f t="array" ref="V284">SUMPRODUCT((OKT!M_Verweiszeile=$H284)*OKT!M_ProdN1*(OKT!M_Monat=$E284))</f>
        <v>0</v>
      </c>
      <c r="W284" s="236" cm="1">
        <f t="array" ref="W284">SUMPRODUCT((OKT!M_Verweiszeile=$H284)*OKT!M_ProdN2*(OKT!M_Monat=$E284))</f>
        <v>0</v>
      </c>
      <c r="X284" s="236">
        <f t="shared" si="80"/>
        <v>0</v>
      </c>
      <c r="Y284" s="236">
        <f t="shared" si="70"/>
        <v>0</v>
      </c>
      <c r="Z284" s="236">
        <f t="shared" si="71"/>
        <v>0</v>
      </c>
      <c r="AA284" s="236">
        <f t="shared" si="81"/>
        <v>0</v>
      </c>
      <c r="AB284" s="236">
        <f t="shared" si="82"/>
        <v>0</v>
      </c>
      <c r="AC284" s="236">
        <f t="shared" si="83"/>
        <v>0</v>
      </c>
    </row>
    <row r="285" spans="3:29" s="189" customFormat="1" x14ac:dyDescent="0.2">
      <c r="C285" s="129">
        <v>276</v>
      </c>
      <c r="D285" s="190">
        <f t="shared" si="84"/>
        <v>45567</v>
      </c>
      <c r="E285" s="129">
        <f t="shared" si="72"/>
        <v>10</v>
      </c>
      <c r="F285" s="191">
        <f t="shared" si="73"/>
        <v>45567</v>
      </c>
      <c r="G285" s="129">
        <f t="shared" si="74"/>
        <v>40</v>
      </c>
      <c r="H285" s="129">
        <f t="shared" si="75"/>
        <v>2</v>
      </c>
      <c r="I285" s="129">
        <f t="shared" si="76"/>
        <v>3</v>
      </c>
      <c r="J285" s="192">
        <f t="shared" si="77"/>
        <v>45567</v>
      </c>
      <c r="K285" s="129" t="str" cm="1">
        <f t="array" ref="K285">IF(AND(I285&lt;7,INDEX(B_tblFTMatrix,$E285,$H285)="x"),"ft","")</f>
        <v/>
      </c>
      <c r="L285" s="129"/>
      <c r="M285" s="129"/>
      <c r="N285" s="129">
        <f t="shared" si="68"/>
        <v>1</v>
      </c>
      <c r="O285" s="129">
        <f t="shared" si="78"/>
        <v>1</v>
      </c>
      <c r="P285" s="231">
        <f t="shared" si="69"/>
        <v>8</v>
      </c>
      <c r="Q285" s="233" cm="1">
        <f t="array" ref="Q285">SUMPRODUCT((H_tblBGTage=I285)*(H_tblBGMnt=E285)*H_tblBG%)</f>
        <v>1</v>
      </c>
      <c r="R285" s="231">
        <f t="shared" si="79"/>
        <v>8</v>
      </c>
      <c r="S285" s="237"/>
      <c r="T285" s="237"/>
      <c r="U285" s="236" cm="1">
        <f t="array" ref="U285">SUMPRODUCT((OKT!M_Verweiszeile=$H285)*OKT!M_ProdTag*(OKT!M_Monat=$E285))</f>
        <v>0</v>
      </c>
      <c r="V285" s="236" cm="1">
        <f t="array" ref="V285">SUMPRODUCT((OKT!M_Verweiszeile=$H285)*OKT!M_ProdN1*(OKT!M_Monat=$E285))</f>
        <v>0</v>
      </c>
      <c r="W285" s="236" cm="1">
        <f t="array" ref="W285">SUMPRODUCT((OKT!M_Verweiszeile=$H285)*OKT!M_ProdN2*(OKT!M_Monat=$E285))</f>
        <v>0</v>
      </c>
      <c r="X285" s="236">
        <f t="shared" si="80"/>
        <v>0</v>
      </c>
      <c r="Y285" s="236">
        <f t="shared" si="70"/>
        <v>0</v>
      </c>
      <c r="Z285" s="236">
        <f t="shared" si="71"/>
        <v>0</v>
      </c>
      <c r="AA285" s="236">
        <f t="shared" si="81"/>
        <v>0</v>
      </c>
      <c r="AB285" s="236">
        <f t="shared" si="82"/>
        <v>0</v>
      </c>
      <c r="AC285" s="236">
        <f t="shared" si="83"/>
        <v>0</v>
      </c>
    </row>
    <row r="286" spans="3:29" s="189" customFormat="1" x14ac:dyDescent="0.2">
      <c r="C286" s="129">
        <v>277</v>
      </c>
      <c r="D286" s="190">
        <f t="shared" si="84"/>
        <v>45568</v>
      </c>
      <c r="E286" s="129">
        <f t="shared" si="72"/>
        <v>10</v>
      </c>
      <c r="F286" s="191">
        <f t="shared" si="73"/>
        <v>45568</v>
      </c>
      <c r="G286" s="129">
        <f t="shared" si="74"/>
        <v>40</v>
      </c>
      <c r="H286" s="129">
        <f t="shared" si="75"/>
        <v>3</v>
      </c>
      <c r="I286" s="129">
        <f t="shared" si="76"/>
        <v>4</v>
      </c>
      <c r="J286" s="192">
        <f t="shared" si="77"/>
        <v>45568</v>
      </c>
      <c r="K286" s="129" t="str" cm="1">
        <f t="array" ref="K286">IF(AND(I286&lt;7,INDEX(B_tblFTMatrix,$E286,$H286)="x"),"ft","")</f>
        <v/>
      </c>
      <c r="L286" s="129"/>
      <c r="M286" s="129"/>
      <c r="N286" s="129">
        <f t="shared" si="68"/>
        <v>1</v>
      </c>
      <c r="O286" s="129">
        <f t="shared" si="78"/>
        <v>1</v>
      </c>
      <c r="P286" s="231">
        <f t="shared" si="69"/>
        <v>8</v>
      </c>
      <c r="Q286" s="233" cm="1">
        <f t="array" ref="Q286">SUMPRODUCT((H_tblBGTage=I286)*(H_tblBGMnt=E286)*H_tblBG%)</f>
        <v>1</v>
      </c>
      <c r="R286" s="231">
        <f t="shared" si="79"/>
        <v>8</v>
      </c>
      <c r="S286" s="237"/>
      <c r="T286" s="237"/>
      <c r="U286" s="236" cm="1">
        <f t="array" ref="U286">SUMPRODUCT((OKT!M_Verweiszeile=$H286)*OKT!M_ProdTag*(OKT!M_Monat=$E286))</f>
        <v>0</v>
      </c>
      <c r="V286" s="236" cm="1">
        <f t="array" ref="V286">SUMPRODUCT((OKT!M_Verweiszeile=$H286)*OKT!M_ProdN1*(OKT!M_Monat=$E286))</f>
        <v>0</v>
      </c>
      <c r="W286" s="236" cm="1">
        <f t="array" ref="W286">SUMPRODUCT((OKT!M_Verweiszeile=$H286)*OKT!M_ProdN2*(OKT!M_Monat=$E286))</f>
        <v>0</v>
      </c>
      <c r="X286" s="236">
        <f t="shared" si="80"/>
        <v>0</v>
      </c>
      <c r="Y286" s="236">
        <f t="shared" si="70"/>
        <v>0</v>
      </c>
      <c r="Z286" s="236">
        <f t="shared" si="71"/>
        <v>0</v>
      </c>
      <c r="AA286" s="236">
        <f t="shared" si="81"/>
        <v>0</v>
      </c>
      <c r="AB286" s="236">
        <f t="shared" si="82"/>
        <v>0</v>
      </c>
      <c r="AC286" s="236">
        <f t="shared" si="83"/>
        <v>0</v>
      </c>
    </row>
    <row r="287" spans="3:29" s="189" customFormat="1" x14ac:dyDescent="0.2">
      <c r="C287" s="129">
        <v>278</v>
      </c>
      <c r="D287" s="190">
        <f t="shared" si="84"/>
        <v>45569</v>
      </c>
      <c r="E287" s="129">
        <f t="shared" si="72"/>
        <v>10</v>
      </c>
      <c r="F287" s="191">
        <f t="shared" si="73"/>
        <v>45569</v>
      </c>
      <c r="G287" s="129">
        <f t="shared" si="74"/>
        <v>40</v>
      </c>
      <c r="H287" s="129">
        <f t="shared" si="75"/>
        <v>4</v>
      </c>
      <c r="I287" s="129">
        <f t="shared" si="76"/>
        <v>5</v>
      </c>
      <c r="J287" s="192">
        <f t="shared" si="77"/>
        <v>45569</v>
      </c>
      <c r="K287" s="129" t="str" cm="1">
        <f t="array" ref="K287">IF(AND(I287&lt;7,INDEX(B_tblFTMatrix,$E287,$H287)="x"),"ft","")</f>
        <v/>
      </c>
      <c r="L287" s="129"/>
      <c r="M287" s="129"/>
      <c r="N287" s="129">
        <f t="shared" si="68"/>
        <v>1</v>
      </c>
      <c r="O287" s="129">
        <f t="shared" si="78"/>
        <v>1</v>
      </c>
      <c r="P287" s="231">
        <f t="shared" si="69"/>
        <v>8</v>
      </c>
      <c r="Q287" s="233" cm="1">
        <f t="array" ref="Q287">SUMPRODUCT((H_tblBGTage=I287)*(H_tblBGMnt=E287)*H_tblBG%)</f>
        <v>1</v>
      </c>
      <c r="R287" s="231">
        <f t="shared" si="79"/>
        <v>8</v>
      </c>
      <c r="S287" s="237"/>
      <c r="T287" s="237"/>
      <c r="U287" s="236" cm="1">
        <f t="array" ref="U287">SUMPRODUCT((OKT!M_Verweiszeile=$H287)*OKT!M_ProdTag*(OKT!M_Monat=$E287))</f>
        <v>0</v>
      </c>
      <c r="V287" s="236" cm="1">
        <f t="array" ref="V287">SUMPRODUCT((OKT!M_Verweiszeile=$H287)*OKT!M_ProdN1*(OKT!M_Monat=$E287))</f>
        <v>0</v>
      </c>
      <c r="W287" s="236" cm="1">
        <f t="array" ref="W287">SUMPRODUCT((OKT!M_Verweiszeile=$H287)*OKT!M_ProdN2*(OKT!M_Monat=$E287))</f>
        <v>0</v>
      </c>
      <c r="X287" s="236">
        <f t="shared" si="80"/>
        <v>0</v>
      </c>
      <c r="Y287" s="236">
        <f t="shared" si="70"/>
        <v>0</v>
      </c>
      <c r="Z287" s="236">
        <f t="shared" si="71"/>
        <v>0</v>
      </c>
      <c r="AA287" s="236">
        <f t="shared" si="81"/>
        <v>0</v>
      </c>
      <c r="AB287" s="236">
        <f t="shared" si="82"/>
        <v>0</v>
      </c>
      <c r="AC287" s="236">
        <f t="shared" si="83"/>
        <v>0</v>
      </c>
    </row>
    <row r="288" spans="3:29" s="189" customFormat="1" x14ac:dyDescent="0.2">
      <c r="C288" s="129">
        <v>279</v>
      </c>
      <c r="D288" s="190">
        <f t="shared" si="84"/>
        <v>45570</v>
      </c>
      <c r="E288" s="129">
        <f t="shared" si="72"/>
        <v>10</v>
      </c>
      <c r="F288" s="191">
        <f t="shared" si="73"/>
        <v>45570</v>
      </c>
      <c r="G288" s="129">
        <f t="shared" si="74"/>
        <v>40</v>
      </c>
      <c r="H288" s="129">
        <f t="shared" si="75"/>
        <v>5</v>
      </c>
      <c r="I288" s="129">
        <f t="shared" si="76"/>
        <v>6</v>
      </c>
      <c r="J288" s="192">
        <f t="shared" si="77"/>
        <v>45570</v>
      </c>
      <c r="K288" s="129" t="str" cm="1">
        <f t="array" ref="K288">IF(AND(I288&lt;7,INDEX(B_tblFTMatrix,$E288,$H288)="x"),"ft","")</f>
        <v/>
      </c>
      <c r="L288" s="129"/>
      <c r="M288" s="129"/>
      <c r="N288" s="129">
        <f t="shared" si="68"/>
        <v>0</v>
      </c>
      <c r="O288" s="129">
        <f t="shared" si="78"/>
        <v>0</v>
      </c>
      <c r="P288" s="231">
        <f t="shared" si="69"/>
        <v>0</v>
      </c>
      <c r="Q288" s="233" cm="1">
        <f t="array" ref="Q288">SUMPRODUCT((H_tblBGTage=I288)*(H_tblBGMnt=E288)*H_tblBG%)</f>
        <v>0</v>
      </c>
      <c r="R288" s="231">
        <f t="shared" si="79"/>
        <v>0</v>
      </c>
      <c r="S288" s="237"/>
      <c r="T288" s="237"/>
      <c r="U288" s="236" cm="1">
        <f t="array" ref="U288">SUMPRODUCT((OKT!M_Verweiszeile=$H288)*OKT!M_ProdTag*(OKT!M_Monat=$E288))</f>
        <v>0</v>
      </c>
      <c r="V288" s="236" cm="1">
        <f t="array" ref="V288">SUMPRODUCT((OKT!M_Verweiszeile=$H288)*OKT!M_ProdN1*(OKT!M_Monat=$E288))</f>
        <v>0</v>
      </c>
      <c r="W288" s="236" cm="1">
        <f t="array" ref="W288">SUMPRODUCT((OKT!M_Verweiszeile=$H288)*OKT!M_ProdN2*(OKT!M_Monat=$E288))</f>
        <v>0</v>
      </c>
      <c r="X288" s="236">
        <f t="shared" si="80"/>
        <v>0</v>
      </c>
      <c r="Y288" s="236">
        <f t="shared" si="70"/>
        <v>0</v>
      </c>
      <c r="Z288" s="236">
        <f t="shared" si="71"/>
        <v>0</v>
      </c>
      <c r="AA288" s="236">
        <f t="shared" si="81"/>
        <v>0</v>
      </c>
      <c r="AB288" s="236">
        <f t="shared" si="82"/>
        <v>0</v>
      </c>
      <c r="AC288" s="236">
        <f t="shared" si="83"/>
        <v>0</v>
      </c>
    </row>
    <row r="289" spans="3:29" s="189" customFormat="1" x14ac:dyDescent="0.2">
      <c r="C289" s="129">
        <v>280</v>
      </c>
      <c r="D289" s="190">
        <f t="shared" si="84"/>
        <v>45571</v>
      </c>
      <c r="E289" s="129">
        <f t="shared" si="72"/>
        <v>10</v>
      </c>
      <c r="F289" s="191">
        <f t="shared" si="73"/>
        <v>45571</v>
      </c>
      <c r="G289" s="129">
        <f t="shared" si="74"/>
        <v>40</v>
      </c>
      <c r="H289" s="129">
        <f t="shared" si="75"/>
        <v>6</v>
      </c>
      <c r="I289" s="129">
        <f t="shared" si="76"/>
        <v>7</v>
      </c>
      <c r="J289" s="192">
        <f t="shared" si="77"/>
        <v>45571</v>
      </c>
      <c r="K289" s="129" t="str" cm="1">
        <f t="array" ref="K289">IF(AND(I289&lt;7,INDEX(B_tblFTMatrix,$E289,$H289)="x"),"ft","")</f>
        <v/>
      </c>
      <c r="L289" s="129"/>
      <c r="M289" s="129"/>
      <c r="N289" s="129">
        <f t="shared" si="68"/>
        <v>0</v>
      </c>
      <c r="O289" s="129">
        <f t="shared" si="78"/>
        <v>0</v>
      </c>
      <c r="P289" s="231">
        <f t="shared" si="69"/>
        <v>0</v>
      </c>
      <c r="Q289" s="233" cm="1">
        <f t="array" ref="Q289">SUMPRODUCT((H_tblBGTage=I289)*(H_tblBGMnt=E289)*H_tblBG%)</f>
        <v>0</v>
      </c>
      <c r="R289" s="231">
        <f t="shared" si="79"/>
        <v>0</v>
      </c>
      <c r="S289" s="237"/>
      <c r="T289" s="237"/>
      <c r="U289" s="236" cm="1">
        <f t="array" ref="U289">SUMPRODUCT((OKT!M_Verweiszeile=$H289)*OKT!M_ProdTag*(OKT!M_Monat=$E289))</f>
        <v>0</v>
      </c>
      <c r="V289" s="236" cm="1">
        <f t="array" ref="V289">SUMPRODUCT((OKT!M_Verweiszeile=$H289)*OKT!M_ProdN1*(OKT!M_Monat=$E289))</f>
        <v>0</v>
      </c>
      <c r="W289" s="236" cm="1">
        <f t="array" ref="W289">SUMPRODUCT((OKT!M_Verweiszeile=$H289)*OKT!M_ProdN2*(OKT!M_Monat=$E289))</f>
        <v>0</v>
      </c>
      <c r="X289" s="236">
        <f t="shared" si="80"/>
        <v>0</v>
      </c>
      <c r="Y289" s="236">
        <f t="shared" si="70"/>
        <v>0</v>
      </c>
      <c r="Z289" s="236">
        <f t="shared" si="71"/>
        <v>0</v>
      </c>
      <c r="AA289" s="236">
        <f t="shared" si="81"/>
        <v>0</v>
      </c>
      <c r="AB289" s="236">
        <f t="shared" si="82"/>
        <v>0</v>
      </c>
      <c r="AC289" s="236">
        <f t="shared" si="83"/>
        <v>0</v>
      </c>
    </row>
    <row r="290" spans="3:29" s="189" customFormat="1" x14ac:dyDescent="0.2">
      <c r="C290" s="129">
        <v>281</v>
      </c>
      <c r="D290" s="190">
        <f t="shared" si="84"/>
        <v>45572</v>
      </c>
      <c r="E290" s="129">
        <f t="shared" si="72"/>
        <v>10</v>
      </c>
      <c r="F290" s="191">
        <f t="shared" si="73"/>
        <v>45572</v>
      </c>
      <c r="G290" s="129">
        <f t="shared" si="74"/>
        <v>41</v>
      </c>
      <c r="H290" s="129">
        <f t="shared" si="75"/>
        <v>7</v>
      </c>
      <c r="I290" s="129">
        <f t="shared" si="76"/>
        <v>1</v>
      </c>
      <c r="J290" s="192">
        <f t="shared" si="77"/>
        <v>45572</v>
      </c>
      <c r="K290" s="129" t="str" cm="1">
        <f t="array" ref="K290">IF(AND(I290&lt;7,INDEX(B_tblFTMatrix,$E290,$H290)="x"),"ft","")</f>
        <v/>
      </c>
      <c r="L290" s="129"/>
      <c r="M290" s="129"/>
      <c r="N290" s="129">
        <f t="shared" si="68"/>
        <v>1</v>
      </c>
      <c r="O290" s="129">
        <f t="shared" si="78"/>
        <v>1</v>
      </c>
      <c r="P290" s="231">
        <f t="shared" si="69"/>
        <v>8</v>
      </c>
      <c r="Q290" s="233" cm="1">
        <f t="array" ref="Q290">SUMPRODUCT((H_tblBGTage=I290)*(H_tblBGMnt=E290)*H_tblBG%)</f>
        <v>1</v>
      </c>
      <c r="R290" s="231">
        <f t="shared" si="79"/>
        <v>8</v>
      </c>
      <c r="S290" s="237"/>
      <c r="T290" s="237"/>
      <c r="U290" s="236" cm="1">
        <f t="array" ref="U290">SUMPRODUCT((OKT!M_Verweiszeile=$H290)*OKT!M_ProdTag*(OKT!M_Monat=$E290))</f>
        <v>0</v>
      </c>
      <c r="V290" s="236" cm="1">
        <f t="array" ref="V290">SUMPRODUCT((OKT!M_Verweiszeile=$H290)*OKT!M_ProdN1*(OKT!M_Monat=$E290))</f>
        <v>0</v>
      </c>
      <c r="W290" s="236" cm="1">
        <f t="array" ref="W290">SUMPRODUCT((OKT!M_Verweiszeile=$H290)*OKT!M_ProdN2*(OKT!M_Monat=$E290))</f>
        <v>0</v>
      </c>
      <c r="X290" s="236">
        <f t="shared" si="80"/>
        <v>0</v>
      </c>
      <c r="Y290" s="236">
        <f t="shared" si="70"/>
        <v>0</v>
      </c>
      <c r="Z290" s="236">
        <f t="shared" si="71"/>
        <v>0</v>
      </c>
      <c r="AA290" s="236">
        <f t="shared" si="81"/>
        <v>0</v>
      </c>
      <c r="AB290" s="236">
        <f t="shared" si="82"/>
        <v>0</v>
      </c>
      <c r="AC290" s="236">
        <f t="shared" si="83"/>
        <v>0</v>
      </c>
    </row>
    <row r="291" spans="3:29" s="189" customFormat="1" x14ac:dyDescent="0.2">
      <c r="C291" s="129">
        <v>282</v>
      </c>
      <c r="D291" s="190">
        <f t="shared" si="84"/>
        <v>45573</v>
      </c>
      <c r="E291" s="129">
        <f t="shared" si="72"/>
        <v>10</v>
      </c>
      <c r="F291" s="191">
        <f t="shared" si="73"/>
        <v>45573</v>
      </c>
      <c r="G291" s="129">
        <f t="shared" si="74"/>
        <v>41</v>
      </c>
      <c r="H291" s="129">
        <f t="shared" si="75"/>
        <v>8</v>
      </c>
      <c r="I291" s="129">
        <f t="shared" si="76"/>
        <v>2</v>
      </c>
      <c r="J291" s="192">
        <f t="shared" si="77"/>
        <v>45573</v>
      </c>
      <c r="K291" s="129" t="str" cm="1">
        <f t="array" ref="K291">IF(AND(I291&lt;7,INDEX(B_tblFTMatrix,$E291,$H291)="x"),"ft","")</f>
        <v/>
      </c>
      <c r="L291" s="129"/>
      <c r="M291" s="129"/>
      <c r="N291" s="129">
        <f t="shared" si="68"/>
        <v>1</v>
      </c>
      <c r="O291" s="129">
        <f t="shared" si="78"/>
        <v>1</v>
      </c>
      <c r="P291" s="231">
        <f t="shared" si="69"/>
        <v>8</v>
      </c>
      <c r="Q291" s="233" cm="1">
        <f t="array" ref="Q291">SUMPRODUCT((H_tblBGTage=I291)*(H_tblBGMnt=E291)*H_tblBG%)</f>
        <v>1</v>
      </c>
      <c r="R291" s="231">
        <f t="shared" si="79"/>
        <v>8</v>
      </c>
      <c r="S291" s="237"/>
      <c r="T291" s="237"/>
      <c r="U291" s="236" cm="1">
        <f t="array" ref="U291">SUMPRODUCT((OKT!M_Verweiszeile=$H291)*OKT!M_ProdTag*(OKT!M_Monat=$E291))</f>
        <v>0</v>
      </c>
      <c r="V291" s="236" cm="1">
        <f t="array" ref="V291">SUMPRODUCT((OKT!M_Verweiszeile=$H291)*OKT!M_ProdN1*(OKT!M_Monat=$E291))</f>
        <v>0</v>
      </c>
      <c r="W291" s="236" cm="1">
        <f t="array" ref="W291">SUMPRODUCT((OKT!M_Verweiszeile=$H291)*OKT!M_ProdN2*(OKT!M_Monat=$E291))</f>
        <v>0</v>
      </c>
      <c r="X291" s="236">
        <f t="shared" si="80"/>
        <v>0</v>
      </c>
      <c r="Y291" s="236">
        <f t="shared" si="70"/>
        <v>0</v>
      </c>
      <c r="Z291" s="236">
        <f t="shared" si="71"/>
        <v>0</v>
      </c>
      <c r="AA291" s="236">
        <f t="shared" si="81"/>
        <v>0</v>
      </c>
      <c r="AB291" s="236">
        <f t="shared" si="82"/>
        <v>0</v>
      </c>
      <c r="AC291" s="236">
        <f t="shared" si="83"/>
        <v>0</v>
      </c>
    </row>
    <row r="292" spans="3:29" s="189" customFormat="1" x14ac:dyDescent="0.2">
      <c r="C292" s="129">
        <v>283</v>
      </c>
      <c r="D292" s="190">
        <f t="shared" si="84"/>
        <v>45574</v>
      </c>
      <c r="E292" s="129">
        <f t="shared" si="72"/>
        <v>10</v>
      </c>
      <c r="F292" s="191">
        <f t="shared" si="73"/>
        <v>45574</v>
      </c>
      <c r="G292" s="129">
        <f t="shared" si="74"/>
        <v>41</v>
      </c>
      <c r="H292" s="129">
        <f t="shared" si="75"/>
        <v>9</v>
      </c>
      <c r="I292" s="129">
        <f t="shared" si="76"/>
        <v>3</v>
      </c>
      <c r="J292" s="192">
        <f t="shared" si="77"/>
        <v>45574</v>
      </c>
      <c r="K292" s="129" t="str" cm="1">
        <f t="array" ref="K292">IF(AND(I292&lt;7,INDEX(B_tblFTMatrix,$E292,$H292)="x"),"ft","")</f>
        <v/>
      </c>
      <c r="L292" s="129"/>
      <c r="M292" s="129"/>
      <c r="N292" s="129">
        <f t="shared" si="68"/>
        <v>1</v>
      </c>
      <c r="O292" s="129">
        <f t="shared" si="78"/>
        <v>1</v>
      </c>
      <c r="P292" s="231">
        <f t="shared" si="69"/>
        <v>8</v>
      </c>
      <c r="Q292" s="233" cm="1">
        <f t="array" ref="Q292">SUMPRODUCT((H_tblBGTage=I292)*(H_tblBGMnt=E292)*H_tblBG%)</f>
        <v>1</v>
      </c>
      <c r="R292" s="231">
        <f t="shared" si="79"/>
        <v>8</v>
      </c>
      <c r="S292" s="237"/>
      <c r="T292" s="237"/>
      <c r="U292" s="236" cm="1">
        <f t="array" ref="U292">SUMPRODUCT((OKT!M_Verweiszeile=$H292)*OKT!M_ProdTag*(OKT!M_Monat=$E292))</f>
        <v>0</v>
      </c>
      <c r="V292" s="236" cm="1">
        <f t="array" ref="V292">SUMPRODUCT((OKT!M_Verweiszeile=$H292)*OKT!M_ProdN1*(OKT!M_Monat=$E292))</f>
        <v>0</v>
      </c>
      <c r="W292" s="236" cm="1">
        <f t="array" ref="W292">SUMPRODUCT((OKT!M_Verweiszeile=$H292)*OKT!M_ProdN2*(OKT!M_Monat=$E292))</f>
        <v>0</v>
      </c>
      <c r="X292" s="236">
        <f t="shared" si="80"/>
        <v>0</v>
      </c>
      <c r="Y292" s="236">
        <f t="shared" si="70"/>
        <v>0</v>
      </c>
      <c r="Z292" s="236">
        <f t="shared" si="71"/>
        <v>0</v>
      </c>
      <c r="AA292" s="236">
        <f t="shared" si="81"/>
        <v>0</v>
      </c>
      <c r="AB292" s="236">
        <f t="shared" si="82"/>
        <v>0</v>
      </c>
      <c r="AC292" s="236">
        <f t="shared" si="83"/>
        <v>0</v>
      </c>
    </row>
    <row r="293" spans="3:29" s="189" customFormat="1" x14ac:dyDescent="0.2">
      <c r="C293" s="129">
        <v>284</v>
      </c>
      <c r="D293" s="190">
        <f t="shared" si="84"/>
        <v>45575</v>
      </c>
      <c r="E293" s="129">
        <f t="shared" si="72"/>
        <v>10</v>
      </c>
      <c r="F293" s="191">
        <f t="shared" si="73"/>
        <v>45575</v>
      </c>
      <c r="G293" s="129">
        <f t="shared" si="74"/>
        <v>41</v>
      </c>
      <c r="H293" s="129">
        <f t="shared" si="75"/>
        <v>10</v>
      </c>
      <c r="I293" s="129">
        <f t="shared" si="76"/>
        <v>4</v>
      </c>
      <c r="J293" s="192">
        <f t="shared" si="77"/>
        <v>45575</v>
      </c>
      <c r="K293" s="129" t="str" cm="1">
        <f t="array" ref="K293">IF(AND(I293&lt;7,INDEX(B_tblFTMatrix,$E293,$H293)="x"),"ft","")</f>
        <v/>
      </c>
      <c r="L293" s="129"/>
      <c r="M293" s="129"/>
      <c r="N293" s="129">
        <f t="shared" si="68"/>
        <v>1</v>
      </c>
      <c r="O293" s="129">
        <f t="shared" si="78"/>
        <v>1</v>
      </c>
      <c r="P293" s="231">
        <f t="shared" si="69"/>
        <v>8</v>
      </c>
      <c r="Q293" s="233" cm="1">
        <f t="array" ref="Q293">SUMPRODUCT((H_tblBGTage=I293)*(H_tblBGMnt=E293)*H_tblBG%)</f>
        <v>1</v>
      </c>
      <c r="R293" s="231">
        <f t="shared" si="79"/>
        <v>8</v>
      </c>
      <c r="S293" s="237"/>
      <c r="T293" s="237"/>
      <c r="U293" s="236" cm="1">
        <f t="array" ref="U293">SUMPRODUCT((OKT!M_Verweiszeile=$H293)*OKT!M_ProdTag*(OKT!M_Monat=$E293))</f>
        <v>0</v>
      </c>
      <c r="V293" s="236" cm="1">
        <f t="array" ref="V293">SUMPRODUCT((OKT!M_Verweiszeile=$H293)*OKT!M_ProdN1*(OKT!M_Monat=$E293))</f>
        <v>0</v>
      </c>
      <c r="W293" s="236" cm="1">
        <f t="array" ref="W293">SUMPRODUCT((OKT!M_Verweiszeile=$H293)*OKT!M_ProdN2*(OKT!M_Monat=$E293))</f>
        <v>0</v>
      </c>
      <c r="X293" s="236">
        <f t="shared" si="80"/>
        <v>0</v>
      </c>
      <c r="Y293" s="236">
        <f t="shared" si="70"/>
        <v>0</v>
      </c>
      <c r="Z293" s="236">
        <f t="shared" si="71"/>
        <v>0</v>
      </c>
      <c r="AA293" s="236">
        <f t="shared" si="81"/>
        <v>0</v>
      </c>
      <c r="AB293" s="236">
        <f t="shared" si="82"/>
        <v>0</v>
      </c>
      <c r="AC293" s="236">
        <f t="shared" si="83"/>
        <v>0</v>
      </c>
    </row>
    <row r="294" spans="3:29" s="189" customFormat="1" x14ac:dyDescent="0.2">
      <c r="C294" s="129">
        <v>285</v>
      </c>
      <c r="D294" s="190">
        <f t="shared" si="84"/>
        <v>45576</v>
      </c>
      <c r="E294" s="129">
        <f t="shared" si="72"/>
        <v>10</v>
      </c>
      <c r="F294" s="191">
        <f t="shared" si="73"/>
        <v>45576</v>
      </c>
      <c r="G294" s="129">
        <f t="shared" si="74"/>
        <v>41</v>
      </c>
      <c r="H294" s="129">
        <f t="shared" si="75"/>
        <v>11</v>
      </c>
      <c r="I294" s="129">
        <f t="shared" si="76"/>
        <v>5</v>
      </c>
      <c r="J294" s="192">
        <f t="shared" si="77"/>
        <v>45576</v>
      </c>
      <c r="K294" s="129" t="str" cm="1">
        <f t="array" ref="K294">IF(AND(I294&lt;7,INDEX(B_tblFTMatrix,$E294,$H294)="x"),"ft","")</f>
        <v/>
      </c>
      <c r="L294" s="129"/>
      <c r="M294" s="129"/>
      <c r="N294" s="129">
        <f t="shared" si="68"/>
        <v>1</v>
      </c>
      <c r="O294" s="129">
        <f t="shared" si="78"/>
        <v>1</v>
      </c>
      <c r="P294" s="231">
        <f t="shared" si="69"/>
        <v>8</v>
      </c>
      <c r="Q294" s="233" cm="1">
        <f t="array" ref="Q294">SUMPRODUCT((H_tblBGTage=I294)*(H_tblBGMnt=E294)*H_tblBG%)</f>
        <v>1</v>
      </c>
      <c r="R294" s="231">
        <f t="shared" si="79"/>
        <v>8</v>
      </c>
      <c r="S294" s="237"/>
      <c r="T294" s="237"/>
      <c r="U294" s="236" cm="1">
        <f t="array" ref="U294">SUMPRODUCT((OKT!M_Verweiszeile=$H294)*OKT!M_ProdTag*(OKT!M_Monat=$E294))</f>
        <v>0</v>
      </c>
      <c r="V294" s="236" cm="1">
        <f t="array" ref="V294">SUMPRODUCT((OKT!M_Verweiszeile=$H294)*OKT!M_ProdN1*(OKT!M_Monat=$E294))</f>
        <v>0</v>
      </c>
      <c r="W294" s="236" cm="1">
        <f t="array" ref="W294">SUMPRODUCT((OKT!M_Verweiszeile=$H294)*OKT!M_ProdN2*(OKT!M_Monat=$E294))</f>
        <v>0</v>
      </c>
      <c r="X294" s="236">
        <f t="shared" si="80"/>
        <v>0</v>
      </c>
      <c r="Y294" s="236">
        <f t="shared" si="70"/>
        <v>0</v>
      </c>
      <c r="Z294" s="236">
        <f t="shared" si="71"/>
        <v>0</v>
      </c>
      <c r="AA294" s="236">
        <f t="shared" si="81"/>
        <v>0</v>
      </c>
      <c r="AB294" s="236">
        <f t="shared" si="82"/>
        <v>0</v>
      </c>
      <c r="AC294" s="236">
        <f t="shared" si="83"/>
        <v>0</v>
      </c>
    </row>
    <row r="295" spans="3:29" s="189" customFormat="1" x14ac:dyDescent="0.2">
      <c r="C295" s="129">
        <v>286</v>
      </c>
      <c r="D295" s="190">
        <f t="shared" si="84"/>
        <v>45577</v>
      </c>
      <c r="E295" s="129">
        <f t="shared" si="72"/>
        <v>10</v>
      </c>
      <c r="F295" s="191">
        <f t="shared" si="73"/>
        <v>45577</v>
      </c>
      <c r="G295" s="129">
        <f t="shared" si="74"/>
        <v>41</v>
      </c>
      <c r="H295" s="129">
        <f t="shared" si="75"/>
        <v>12</v>
      </c>
      <c r="I295" s="129">
        <f t="shared" si="76"/>
        <v>6</v>
      </c>
      <c r="J295" s="192">
        <f t="shared" si="77"/>
        <v>45577</v>
      </c>
      <c r="K295" s="129" t="str" cm="1">
        <f t="array" ref="K295">IF(AND(I295&lt;7,INDEX(B_tblFTMatrix,$E295,$H295)="x"),"ft","")</f>
        <v/>
      </c>
      <c r="L295" s="129"/>
      <c r="M295" s="129"/>
      <c r="N295" s="129">
        <f t="shared" si="68"/>
        <v>0</v>
      </c>
      <c r="O295" s="129">
        <f t="shared" si="78"/>
        <v>0</v>
      </c>
      <c r="P295" s="231">
        <f t="shared" si="69"/>
        <v>0</v>
      </c>
      <c r="Q295" s="233" cm="1">
        <f t="array" ref="Q295">SUMPRODUCT((H_tblBGTage=I295)*(H_tblBGMnt=E295)*H_tblBG%)</f>
        <v>0</v>
      </c>
      <c r="R295" s="231">
        <f t="shared" si="79"/>
        <v>0</v>
      </c>
      <c r="S295" s="237"/>
      <c r="T295" s="237"/>
      <c r="U295" s="236" cm="1">
        <f t="array" ref="U295">SUMPRODUCT((OKT!M_Verweiszeile=$H295)*OKT!M_ProdTag*(OKT!M_Monat=$E295))</f>
        <v>0</v>
      </c>
      <c r="V295" s="236" cm="1">
        <f t="array" ref="V295">SUMPRODUCT((OKT!M_Verweiszeile=$H295)*OKT!M_ProdN1*(OKT!M_Monat=$E295))</f>
        <v>0</v>
      </c>
      <c r="W295" s="236" cm="1">
        <f t="array" ref="W295">SUMPRODUCT((OKT!M_Verweiszeile=$H295)*OKT!M_ProdN2*(OKT!M_Monat=$E295))</f>
        <v>0</v>
      </c>
      <c r="X295" s="236">
        <f t="shared" si="80"/>
        <v>0</v>
      </c>
      <c r="Y295" s="236">
        <f t="shared" si="70"/>
        <v>0</v>
      </c>
      <c r="Z295" s="236">
        <f t="shared" si="71"/>
        <v>0</v>
      </c>
      <c r="AA295" s="236">
        <f t="shared" si="81"/>
        <v>0</v>
      </c>
      <c r="AB295" s="236">
        <f t="shared" si="82"/>
        <v>0</v>
      </c>
      <c r="AC295" s="236">
        <f t="shared" si="83"/>
        <v>0</v>
      </c>
    </row>
    <row r="296" spans="3:29" s="189" customFormat="1" x14ac:dyDescent="0.2">
      <c r="C296" s="129">
        <v>287</v>
      </c>
      <c r="D296" s="190">
        <f t="shared" si="84"/>
        <v>45578</v>
      </c>
      <c r="E296" s="129">
        <f t="shared" si="72"/>
        <v>10</v>
      </c>
      <c r="F296" s="191">
        <f t="shared" si="73"/>
        <v>45578</v>
      </c>
      <c r="G296" s="129">
        <f t="shared" si="74"/>
        <v>41</v>
      </c>
      <c r="H296" s="129">
        <f t="shared" si="75"/>
        <v>13</v>
      </c>
      <c r="I296" s="129">
        <f t="shared" si="76"/>
        <v>7</v>
      </c>
      <c r="J296" s="192">
        <f t="shared" si="77"/>
        <v>45578</v>
      </c>
      <c r="K296" s="129" t="str" cm="1">
        <f t="array" ref="K296">IF(AND(I296&lt;7,INDEX(B_tblFTMatrix,$E296,$H296)="x"),"ft","")</f>
        <v/>
      </c>
      <c r="L296" s="129"/>
      <c r="M296" s="129"/>
      <c r="N296" s="129">
        <f t="shared" si="68"/>
        <v>0</v>
      </c>
      <c r="O296" s="129">
        <f t="shared" si="78"/>
        <v>0</v>
      </c>
      <c r="P296" s="231">
        <f t="shared" si="69"/>
        <v>0</v>
      </c>
      <c r="Q296" s="233" cm="1">
        <f t="array" ref="Q296">SUMPRODUCT((H_tblBGTage=I296)*(H_tblBGMnt=E296)*H_tblBG%)</f>
        <v>0</v>
      </c>
      <c r="R296" s="231">
        <f t="shared" si="79"/>
        <v>0</v>
      </c>
      <c r="S296" s="237"/>
      <c r="T296" s="237"/>
      <c r="U296" s="236" cm="1">
        <f t="array" ref="U296">SUMPRODUCT((OKT!M_Verweiszeile=$H296)*OKT!M_ProdTag*(OKT!M_Monat=$E296))</f>
        <v>0</v>
      </c>
      <c r="V296" s="236" cm="1">
        <f t="array" ref="V296">SUMPRODUCT((OKT!M_Verweiszeile=$H296)*OKT!M_ProdN1*(OKT!M_Monat=$E296))</f>
        <v>0</v>
      </c>
      <c r="W296" s="236" cm="1">
        <f t="array" ref="W296">SUMPRODUCT((OKT!M_Verweiszeile=$H296)*OKT!M_ProdN2*(OKT!M_Monat=$E296))</f>
        <v>0</v>
      </c>
      <c r="X296" s="236">
        <f t="shared" si="80"/>
        <v>0</v>
      </c>
      <c r="Y296" s="236">
        <f t="shared" si="70"/>
        <v>0</v>
      </c>
      <c r="Z296" s="236">
        <f t="shared" si="71"/>
        <v>0</v>
      </c>
      <c r="AA296" s="236">
        <f t="shared" si="81"/>
        <v>0</v>
      </c>
      <c r="AB296" s="236">
        <f t="shared" si="82"/>
        <v>0</v>
      </c>
      <c r="AC296" s="236">
        <f t="shared" si="83"/>
        <v>0</v>
      </c>
    </row>
    <row r="297" spans="3:29" s="189" customFormat="1" x14ac:dyDescent="0.2">
      <c r="C297" s="129">
        <v>288</v>
      </c>
      <c r="D297" s="190">
        <f t="shared" si="84"/>
        <v>45579</v>
      </c>
      <c r="E297" s="129">
        <f t="shared" si="72"/>
        <v>10</v>
      </c>
      <c r="F297" s="191">
        <f t="shared" si="73"/>
        <v>45579</v>
      </c>
      <c r="G297" s="129">
        <f t="shared" si="74"/>
        <v>42</v>
      </c>
      <c r="H297" s="129">
        <f t="shared" si="75"/>
        <v>14</v>
      </c>
      <c r="I297" s="129">
        <f t="shared" si="76"/>
        <v>1</v>
      </c>
      <c r="J297" s="192">
        <f t="shared" si="77"/>
        <v>45579</v>
      </c>
      <c r="K297" s="129" t="str" cm="1">
        <f t="array" ref="K297">IF(AND(I297&lt;7,INDEX(B_tblFTMatrix,$E297,$H297)="x"),"ft","")</f>
        <v/>
      </c>
      <c r="L297" s="129"/>
      <c r="M297" s="129"/>
      <c r="N297" s="129">
        <f t="shared" si="68"/>
        <v>1</v>
      </c>
      <c r="O297" s="129">
        <f t="shared" si="78"/>
        <v>1</v>
      </c>
      <c r="P297" s="231">
        <f t="shared" si="69"/>
        <v>8</v>
      </c>
      <c r="Q297" s="233" cm="1">
        <f t="array" ref="Q297">SUMPRODUCT((H_tblBGTage=I297)*(H_tblBGMnt=E297)*H_tblBG%)</f>
        <v>1</v>
      </c>
      <c r="R297" s="231">
        <f t="shared" si="79"/>
        <v>8</v>
      </c>
      <c r="S297" s="237"/>
      <c r="T297" s="237"/>
      <c r="U297" s="236" cm="1">
        <f t="array" ref="U297">SUMPRODUCT((OKT!M_Verweiszeile=$H297)*OKT!M_ProdTag*(OKT!M_Monat=$E297))</f>
        <v>0</v>
      </c>
      <c r="V297" s="236" cm="1">
        <f t="array" ref="V297">SUMPRODUCT((OKT!M_Verweiszeile=$H297)*OKT!M_ProdN1*(OKT!M_Monat=$E297))</f>
        <v>0</v>
      </c>
      <c r="W297" s="236" cm="1">
        <f t="array" ref="W297">SUMPRODUCT((OKT!M_Verweiszeile=$H297)*OKT!M_ProdN2*(OKT!M_Monat=$E297))</f>
        <v>0</v>
      </c>
      <c r="X297" s="236">
        <f t="shared" si="80"/>
        <v>0</v>
      </c>
      <c r="Y297" s="236">
        <f t="shared" si="70"/>
        <v>0</v>
      </c>
      <c r="Z297" s="236">
        <f t="shared" si="71"/>
        <v>0</v>
      </c>
      <c r="AA297" s="236">
        <f t="shared" si="81"/>
        <v>0</v>
      </c>
      <c r="AB297" s="236">
        <f t="shared" si="82"/>
        <v>0</v>
      </c>
      <c r="AC297" s="236">
        <f t="shared" si="83"/>
        <v>0</v>
      </c>
    </row>
    <row r="298" spans="3:29" s="189" customFormat="1" x14ac:dyDescent="0.2">
      <c r="C298" s="129">
        <v>289</v>
      </c>
      <c r="D298" s="190">
        <f t="shared" si="84"/>
        <v>45580</v>
      </c>
      <c r="E298" s="129">
        <f t="shared" si="72"/>
        <v>10</v>
      </c>
      <c r="F298" s="191">
        <f t="shared" si="73"/>
        <v>45580</v>
      </c>
      <c r="G298" s="129">
        <f t="shared" si="74"/>
        <v>42</v>
      </c>
      <c r="H298" s="129">
        <f t="shared" si="75"/>
        <v>15</v>
      </c>
      <c r="I298" s="129">
        <f t="shared" si="76"/>
        <v>2</v>
      </c>
      <c r="J298" s="192">
        <f t="shared" si="77"/>
        <v>45580</v>
      </c>
      <c r="K298" s="129" t="str" cm="1">
        <f t="array" ref="K298">IF(AND(I298&lt;7,INDEX(B_tblFTMatrix,$E298,$H298)="x"),"ft","")</f>
        <v/>
      </c>
      <c r="L298" s="129"/>
      <c r="M298" s="129"/>
      <c r="N298" s="129">
        <f t="shared" si="68"/>
        <v>1</v>
      </c>
      <c r="O298" s="129">
        <f t="shared" si="78"/>
        <v>1</v>
      </c>
      <c r="P298" s="231">
        <f t="shared" si="69"/>
        <v>8</v>
      </c>
      <c r="Q298" s="233" cm="1">
        <f t="array" ref="Q298">SUMPRODUCT((H_tblBGTage=I298)*(H_tblBGMnt=E298)*H_tblBG%)</f>
        <v>1</v>
      </c>
      <c r="R298" s="231">
        <f t="shared" si="79"/>
        <v>8</v>
      </c>
      <c r="S298" s="237"/>
      <c r="T298" s="237"/>
      <c r="U298" s="236" cm="1">
        <f t="array" ref="U298">SUMPRODUCT((OKT!M_Verweiszeile=$H298)*OKT!M_ProdTag*(OKT!M_Monat=$E298))</f>
        <v>0</v>
      </c>
      <c r="V298" s="236" cm="1">
        <f t="array" ref="V298">SUMPRODUCT((OKT!M_Verweiszeile=$H298)*OKT!M_ProdN1*(OKT!M_Monat=$E298))</f>
        <v>0</v>
      </c>
      <c r="W298" s="236" cm="1">
        <f t="array" ref="W298">SUMPRODUCT((OKT!M_Verweiszeile=$H298)*OKT!M_ProdN2*(OKT!M_Monat=$E298))</f>
        <v>0</v>
      </c>
      <c r="X298" s="236">
        <f t="shared" si="80"/>
        <v>0</v>
      </c>
      <c r="Y298" s="236">
        <f t="shared" si="70"/>
        <v>0</v>
      </c>
      <c r="Z298" s="236">
        <f t="shared" si="71"/>
        <v>0</v>
      </c>
      <c r="AA298" s="236">
        <f t="shared" si="81"/>
        <v>0</v>
      </c>
      <c r="AB298" s="236">
        <f t="shared" si="82"/>
        <v>0</v>
      </c>
      <c r="AC298" s="236">
        <f t="shared" si="83"/>
        <v>0</v>
      </c>
    </row>
    <row r="299" spans="3:29" s="189" customFormat="1" x14ac:dyDescent="0.2">
      <c r="C299" s="129">
        <v>290</v>
      </c>
      <c r="D299" s="190">
        <f t="shared" si="84"/>
        <v>45581</v>
      </c>
      <c r="E299" s="129">
        <f t="shared" si="72"/>
        <v>10</v>
      </c>
      <c r="F299" s="191">
        <f t="shared" si="73"/>
        <v>45581</v>
      </c>
      <c r="G299" s="129">
        <f t="shared" si="74"/>
        <v>42</v>
      </c>
      <c r="H299" s="129">
        <f t="shared" si="75"/>
        <v>16</v>
      </c>
      <c r="I299" s="129">
        <f t="shared" si="76"/>
        <v>3</v>
      </c>
      <c r="J299" s="192">
        <f t="shared" si="77"/>
        <v>45581</v>
      </c>
      <c r="K299" s="129" t="str" cm="1">
        <f t="array" ref="K299">IF(AND(I299&lt;7,INDEX(B_tblFTMatrix,$E299,$H299)="x"),"ft","")</f>
        <v/>
      </c>
      <c r="L299" s="129"/>
      <c r="M299" s="129"/>
      <c r="N299" s="129">
        <f t="shared" si="68"/>
        <v>1</v>
      </c>
      <c r="O299" s="129">
        <f t="shared" si="78"/>
        <v>1</v>
      </c>
      <c r="P299" s="231">
        <f t="shared" si="69"/>
        <v>8</v>
      </c>
      <c r="Q299" s="233" cm="1">
        <f t="array" ref="Q299">SUMPRODUCT((H_tblBGTage=I299)*(H_tblBGMnt=E299)*H_tblBG%)</f>
        <v>1</v>
      </c>
      <c r="R299" s="231">
        <f t="shared" si="79"/>
        <v>8</v>
      </c>
      <c r="S299" s="237"/>
      <c r="T299" s="237"/>
      <c r="U299" s="236" cm="1">
        <f t="array" ref="U299">SUMPRODUCT((OKT!M_Verweiszeile=$H299)*OKT!M_ProdTag*(OKT!M_Monat=$E299))</f>
        <v>0</v>
      </c>
      <c r="V299" s="236" cm="1">
        <f t="array" ref="V299">SUMPRODUCT((OKT!M_Verweiszeile=$H299)*OKT!M_ProdN1*(OKT!M_Monat=$E299))</f>
        <v>0</v>
      </c>
      <c r="W299" s="236" cm="1">
        <f t="array" ref="W299">SUMPRODUCT((OKT!M_Verweiszeile=$H299)*OKT!M_ProdN2*(OKT!M_Monat=$E299))</f>
        <v>0</v>
      </c>
      <c r="X299" s="236">
        <f t="shared" si="80"/>
        <v>0</v>
      </c>
      <c r="Y299" s="236">
        <f t="shared" si="70"/>
        <v>0</v>
      </c>
      <c r="Z299" s="236">
        <f t="shared" si="71"/>
        <v>0</v>
      </c>
      <c r="AA299" s="236">
        <f t="shared" si="81"/>
        <v>0</v>
      </c>
      <c r="AB299" s="236">
        <f t="shared" si="82"/>
        <v>0</v>
      </c>
      <c r="AC299" s="236">
        <f t="shared" si="83"/>
        <v>0</v>
      </c>
    </row>
    <row r="300" spans="3:29" s="189" customFormat="1" x14ac:dyDescent="0.2">
      <c r="C300" s="129">
        <v>291</v>
      </c>
      <c r="D300" s="190">
        <f t="shared" si="84"/>
        <v>45582</v>
      </c>
      <c r="E300" s="129">
        <f t="shared" si="72"/>
        <v>10</v>
      </c>
      <c r="F300" s="191">
        <f t="shared" si="73"/>
        <v>45582</v>
      </c>
      <c r="G300" s="129">
        <f t="shared" si="74"/>
        <v>42</v>
      </c>
      <c r="H300" s="129">
        <f t="shared" si="75"/>
        <v>17</v>
      </c>
      <c r="I300" s="129">
        <f t="shared" si="76"/>
        <v>4</v>
      </c>
      <c r="J300" s="192">
        <f t="shared" si="77"/>
        <v>45582</v>
      </c>
      <c r="K300" s="129" t="str" cm="1">
        <f t="array" ref="K300">IF(AND(I300&lt;7,INDEX(B_tblFTMatrix,$E300,$H300)="x"),"ft","")</f>
        <v/>
      </c>
      <c r="L300" s="129"/>
      <c r="M300" s="129"/>
      <c r="N300" s="129">
        <f t="shared" si="68"/>
        <v>1</v>
      </c>
      <c r="O300" s="129">
        <f t="shared" si="78"/>
        <v>1</v>
      </c>
      <c r="P300" s="231">
        <f t="shared" si="69"/>
        <v>8</v>
      </c>
      <c r="Q300" s="233" cm="1">
        <f t="array" ref="Q300">SUMPRODUCT((H_tblBGTage=I300)*(H_tblBGMnt=E300)*H_tblBG%)</f>
        <v>1</v>
      </c>
      <c r="R300" s="231">
        <f t="shared" si="79"/>
        <v>8</v>
      </c>
      <c r="S300" s="237"/>
      <c r="T300" s="237"/>
      <c r="U300" s="236" cm="1">
        <f t="array" ref="U300">SUMPRODUCT((OKT!M_Verweiszeile=$H300)*OKT!M_ProdTag*(OKT!M_Monat=$E300))</f>
        <v>0</v>
      </c>
      <c r="V300" s="236" cm="1">
        <f t="array" ref="V300">SUMPRODUCT((OKT!M_Verweiszeile=$H300)*OKT!M_ProdN1*(OKT!M_Monat=$E300))</f>
        <v>0</v>
      </c>
      <c r="W300" s="236" cm="1">
        <f t="array" ref="W300">SUMPRODUCT((OKT!M_Verweiszeile=$H300)*OKT!M_ProdN2*(OKT!M_Monat=$E300))</f>
        <v>0</v>
      </c>
      <c r="X300" s="236">
        <f t="shared" si="80"/>
        <v>0</v>
      </c>
      <c r="Y300" s="236">
        <f t="shared" si="70"/>
        <v>0</v>
      </c>
      <c r="Z300" s="236">
        <f t="shared" si="71"/>
        <v>0</v>
      </c>
      <c r="AA300" s="236">
        <f t="shared" si="81"/>
        <v>0</v>
      </c>
      <c r="AB300" s="236">
        <f t="shared" si="82"/>
        <v>0</v>
      </c>
      <c r="AC300" s="236">
        <f t="shared" si="83"/>
        <v>0</v>
      </c>
    </row>
    <row r="301" spans="3:29" s="189" customFormat="1" x14ac:dyDescent="0.2">
      <c r="C301" s="129">
        <v>292</v>
      </c>
      <c r="D301" s="190">
        <f t="shared" si="84"/>
        <v>45583</v>
      </c>
      <c r="E301" s="129">
        <f t="shared" si="72"/>
        <v>10</v>
      </c>
      <c r="F301" s="191">
        <f t="shared" si="73"/>
        <v>45583</v>
      </c>
      <c r="G301" s="129">
        <f t="shared" si="74"/>
        <v>42</v>
      </c>
      <c r="H301" s="129">
        <f t="shared" si="75"/>
        <v>18</v>
      </c>
      <c r="I301" s="129">
        <f t="shared" si="76"/>
        <v>5</v>
      </c>
      <c r="J301" s="192">
        <f t="shared" si="77"/>
        <v>45583</v>
      </c>
      <c r="K301" s="129" t="str" cm="1">
        <f t="array" ref="K301">IF(AND(I301&lt;7,INDEX(B_tblFTMatrix,$E301,$H301)="x"),"ft","")</f>
        <v/>
      </c>
      <c r="L301" s="129"/>
      <c r="M301" s="129"/>
      <c r="N301" s="129">
        <f t="shared" si="68"/>
        <v>1</v>
      </c>
      <c r="O301" s="129">
        <f t="shared" si="78"/>
        <v>1</v>
      </c>
      <c r="P301" s="231">
        <f t="shared" si="69"/>
        <v>8</v>
      </c>
      <c r="Q301" s="233" cm="1">
        <f t="array" ref="Q301">SUMPRODUCT((H_tblBGTage=I301)*(H_tblBGMnt=E301)*H_tblBG%)</f>
        <v>1</v>
      </c>
      <c r="R301" s="231">
        <f t="shared" si="79"/>
        <v>8</v>
      </c>
      <c r="S301" s="237"/>
      <c r="T301" s="237"/>
      <c r="U301" s="236" cm="1">
        <f t="array" ref="U301">SUMPRODUCT((OKT!M_Verweiszeile=$H301)*OKT!M_ProdTag*(OKT!M_Monat=$E301))</f>
        <v>0</v>
      </c>
      <c r="V301" s="236" cm="1">
        <f t="array" ref="V301">SUMPRODUCT((OKT!M_Verweiszeile=$H301)*OKT!M_ProdN1*(OKT!M_Monat=$E301))</f>
        <v>0</v>
      </c>
      <c r="W301" s="236" cm="1">
        <f t="array" ref="W301">SUMPRODUCT((OKT!M_Verweiszeile=$H301)*OKT!M_ProdN2*(OKT!M_Monat=$E301))</f>
        <v>0</v>
      </c>
      <c r="X301" s="236">
        <f t="shared" si="80"/>
        <v>0</v>
      </c>
      <c r="Y301" s="236">
        <f t="shared" si="70"/>
        <v>0</v>
      </c>
      <c r="Z301" s="236">
        <f t="shared" si="71"/>
        <v>0</v>
      </c>
      <c r="AA301" s="236">
        <f t="shared" si="81"/>
        <v>0</v>
      </c>
      <c r="AB301" s="236">
        <f t="shared" si="82"/>
        <v>0</v>
      </c>
      <c r="AC301" s="236">
        <f t="shared" si="83"/>
        <v>0</v>
      </c>
    </row>
    <row r="302" spans="3:29" s="189" customFormat="1" x14ac:dyDescent="0.2">
      <c r="C302" s="129">
        <v>293</v>
      </c>
      <c r="D302" s="190">
        <f t="shared" si="84"/>
        <v>45584</v>
      </c>
      <c r="E302" s="129">
        <f t="shared" si="72"/>
        <v>10</v>
      </c>
      <c r="F302" s="191">
        <f t="shared" si="73"/>
        <v>45584</v>
      </c>
      <c r="G302" s="129">
        <f t="shared" si="74"/>
        <v>42</v>
      </c>
      <c r="H302" s="129">
        <f t="shared" si="75"/>
        <v>19</v>
      </c>
      <c r="I302" s="129">
        <f t="shared" si="76"/>
        <v>6</v>
      </c>
      <c r="J302" s="192">
        <f t="shared" si="77"/>
        <v>45584</v>
      </c>
      <c r="K302" s="129" t="str" cm="1">
        <f t="array" ref="K302">IF(AND(I302&lt;7,INDEX(B_tblFTMatrix,$E302,$H302)="x"),"ft","")</f>
        <v/>
      </c>
      <c r="L302" s="129"/>
      <c r="M302" s="129"/>
      <c r="N302" s="129">
        <f t="shared" si="68"/>
        <v>0</v>
      </c>
      <c r="O302" s="129">
        <f t="shared" si="78"/>
        <v>0</v>
      </c>
      <c r="P302" s="231">
        <f t="shared" si="69"/>
        <v>0</v>
      </c>
      <c r="Q302" s="233" cm="1">
        <f t="array" ref="Q302">SUMPRODUCT((H_tblBGTage=I302)*(H_tblBGMnt=E302)*H_tblBG%)</f>
        <v>0</v>
      </c>
      <c r="R302" s="231">
        <f t="shared" si="79"/>
        <v>0</v>
      </c>
      <c r="S302" s="237"/>
      <c r="T302" s="237"/>
      <c r="U302" s="236" cm="1">
        <f t="array" ref="U302">SUMPRODUCT((OKT!M_Verweiszeile=$H302)*OKT!M_ProdTag*(OKT!M_Monat=$E302))</f>
        <v>0</v>
      </c>
      <c r="V302" s="236" cm="1">
        <f t="array" ref="V302">SUMPRODUCT((OKT!M_Verweiszeile=$H302)*OKT!M_ProdN1*(OKT!M_Monat=$E302))</f>
        <v>0</v>
      </c>
      <c r="W302" s="236" cm="1">
        <f t="array" ref="W302">SUMPRODUCT((OKT!M_Verweiszeile=$H302)*OKT!M_ProdN2*(OKT!M_Monat=$E302))</f>
        <v>0</v>
      </c>
      <c r="X302" s="236">
        <f t="shared" si="80"/>
        <v>0</v>
      </c>
      <c r="Y302" s="236">
        <f t="shared" si="70"/>
        <v>0</v>
      </c>
      <c r="Z302" s="236">
        <f t="shared" si="71"/>
        <v>0</v>
      </c>
      <c r="AA302" s="236">
        <f t="shared" si="81"/>
        <v>0</v>
      </c>
      <c r="AB302" s="236">
        <f t="shared" si="82"/>
        <v>0</v>
      </c>
      <c r="AC302" s="236">
        <f t="shared" si="83"/>
        <v>0</v>
      </c>
    </row>
    <row r="303" spans="3:29" s="189" customFormat="1" x14ac:dyDescent="0.2">
      <c r="C303" s="129">
        <v>294</v>
      </c>
      <c r="D303" s="190">
        <f t="shared" si="84"/>
        <v>45585</v>
      </c>
      <c r="E303" s="129">
        <f t="shared" si="72"/>
        <v>10</v>
      </c>
      <c r="F303" s="191">
        <f t="shared" si="73"/>
        <v>45585</v>
      </c>
      <c r="G303" s="129">
        <f t="shared" si="74"/>
        <v>42</v>
      </c>
      <c r="H303" s="129">
        <f t="shared" si="75"/>
        <v>20</v>
      </c>
      <c r="I303" s="129">
        <f t="shared" si="76"/>
        <v>7</v>
      </c>
      <c r="J303" s="192">
        <f t="shared" si="77"/>
        <v>45585</v>
      </c>
      <c r="K303" s="129" t="str" cm="1">
        <f t="array" ref="K303">IF(AND(I303&lt;7,INDEX(B_tblFTMatrix,$E303,$H303)="x"),"ft","")</f>
        <v/>
      </c>
      <c r="L303" s="129"/>
      <c r="M303" s="129"/>
      <c r="N303" s="129">
        <f t="shared" si="68"/>
        <v>0</v>
      </c>
      <c r="O303" s="129">
        <f t="shared" si="78"/>
        <v>0</v>
      </c>
      <c r="P303" s="231">
        <f t="shared" si="69"/>
        <v>0</v>
      </c>
      <c r="Q303" s="233" cm="1">
        <f t="array" ref="Q303">SUMPRODUCT((H_tblBGTage=I303)*(H_tblBGMnt=E303)*H_tblBG%)</f>
        <v>0</v>
      </c>
      <c r="R303" s="231">
        <f t="shared" si="79"/>
        <v>0</v>
      </c>
      <c r="S303" s="237"/>
      <c r="T303" s="237"/>
      <c r="U303" s="236" cm="1">
        <f t="array" ref="U303">SUMPRODUCT((OKT!M_Verweiszeile=$H303)*OKT!M_ProdTag*(OKT!M_Monat=$E303))</f>
        <v>0</v>
      </c>
      <c r="V303" s="236" cm="1">
        <f t="array" ref="V303">SUMPRODUCT((OKT!M_Verweiszeile=$H303)*OKT!M_ProdN1*(OKT!M_Monat=$E303))</f>
        <v>0</v>
      </c>
      <c r="W303" s="236" cm="1">
        <f t="array" ref="W303">SUMPRODUCT((OKT!M_Verweiszeile=$H303)*OKT!M_ProdN2*(OKT!M_Monat=$E303))</f>
        <v>0</v>
      </c>
      <c r="X303" s="236">
        <f t="shared" si="80"/>
        <v>0</v>
      </c>
      <c r="Y303" s="236">
        <f t="shared" si="70"/>
        <v>0</v>
      </c>
      <c r="Z303" s="236">
        <f t="shared" si="71"/>
        <v>0</v>
      </c>
      <c r="AA303" s="236">
        <f t="shared" si="81"/>
        <v>0</v>
      </c>
      <c r="AB303" s="236">
        <f t="shared" si="82"/>
        <v>0</v>
      </c>
      <c r="AC303" s="236">
        <f t="shared" si="83"/>
        <v>0</v>
      </c>
    </row>
    <row r="304" spans="3:29" s="189" customFormat="1" x14ac:dyDescent="0.2">
      <c r="C304" s="129">
        <v>295</v>
      </c>
      <c r="D304" s="190">
        <f t="shared" si="84"/>
        <v>45586</v>
      </c>
      <c r="E304" s="129">
        <f t="shared" si="72"/>
        <v>10</v>
      </c>
      <c r="F304" s="191">
        <f t="shared" si="73"/>
        <v>45586</v>
      </c>
      <c r="G304" s="129">
        <f t="shared" si="74"/>
        <v>43</v>
      </c>
      <c r="H304" s="129">
        <f t="shared" si="75"/>
        <v>21</v>
      </c>
      <c r="I304" s="129">
        <f t="shared" si="76"/>
        <v>1</v>
      </c>
      <c r="J304" s="192">
        <f t="shared" si="77"/>
        <v>45586</v>
      </c>
      <c r="K304" s="129" t="str" cm="1">
        <f t="array" ref="K304">IF(AND(I304&lt;7,INDEX(B_tblFTMatrix,$E304,$H304)="x"),"ft","")</f>
        <v/>
      </c>
      <c r="L304" s="129"/>
      <c r="M304" s="129"/>
      <c r="N304" s="129">
        <f t="shared" si="68"/>
        <v>1</v>
      </c>
      <c r="O304" s="129">
        <f t="shared" si="78"/>
        <v>1</v>
      </c>
      <c r="P304" s="231">
        <f t="shared" si="69"/>
        <v>8</v>
      </c>
      <c r="Q304" s="233" cm="1">
        <f t="array" ref="Q304">SUMPRODUCT((H_tblBGTage=I304)*(H_tblBGMnt=E304)*H_tblBG%)</f>
        <v>1</v>
      </c>
      <c r="R304" s="231">
        <f t="shared" si="79"/>
        <v>8</v>
      </c>
      <c r="S304" s="237"/>
      <c r="T304" s="237"/>
      <c r="U304" s="236" cm="1">
        <f t="array" ref="U304">SUMPRODUCT((OKT!M_Verweiszeile=$H304)*OKT!M_ProdTag*(OKT!M_Monat=$E304))</f>
        <v>0</v>
      </c>
      <c r="V304" s="236" cm="1">
        <f t="array" ref="V304">SUMPRODUCT((OKT!M_Verweiszeile=$H304)*OKT!M_ProdN1*(OKT!M_Monat=$E304))</f>
        <v>0</v>
      </c>
      <c r="W304" s="236" cm="1">
        <f t="array" ref="W304">SUMPRODUCT((OKT!M_Verweiszeile=$H304)*OKT!M_ProdN2*(OKT!M_Monat=$E304))</f>
        <v>0</v>
      </c>
      <c r="X304" s="236">
        <f t="shared" si="80"/>
        <v>0</v>
      </c>
      <c r="Y304" s="236">
        <f t="shared" si="70"/>
        <v>0</v>
      </c>
      <c r="Z304" s="236">
        <f t="shared" si="71"/>
        <v>0</v>
      </c>
      <c r="AA304" s="236">
        <f t="shared" si="81"/>
        <v>0</v>
      </c>
      <c r="AB304" s="236">
        <f t="shared" si="82"/>
        <v>0</v>
      </c>
      <c r="AC304" s="236">
        <f t="shared" si="83"/>
        <v>0</v>
      </c>
    </row>
    <row r="305" spans="3:29" s="189" customFormat="1" x14ac:dyDescent="0.2">
      <c r="C305" s="129">
        <v>296</v>
      </c>
      <c r="D305" s="190">
        <f t="shared" si="84"/>
        <v>45587</v>
      </c>
      <c r="E305" s="129">
        <f t="shared" si="72"/>
        <v>10</v>
      </c>
      <c r="F305" s="191">
        <f t="shared" si="73"/>
        <v>45587</v>
      </c>
      <c r="G305" s="129">
        <f t="shared" si="74"/>
        <v>43</v>
      </c>
      <c r="H305" s="129">
        <f t="shared" si="75"/>
        <v>22</v>
      </c>
      <c r="I305" s="129">
        <f t="shared" si="76"/>
        <v>2</v>
      </c>
      <c r="J305" s="192">
        <f t="shared" si="77"/>
        <v>45587</v>
      </c>
      <c r="K305" s="129" t="str" cm="1">
        <f t="array" ref="K305">IF(AND(I305&lt;7,INDEX(B_tblFTMatrix,$E305,$H305)="x"),"ft","")</f>
        <v/>
      </c>
      <c r="L305" s="129"/>
      <c r="M305" s="129"/>
      <c r="N305" s="129">
        <f t="shared" si="68"/>
        <v>1</v>
      </c>
      <c r="O305" s="129">
        <f t="shared" si="78"/>
        <v>1</v>
      </c>
      <c r="P305" s="231">
        <f t="shared" si="69"/>
        <v>8</v>
      </c>
      <c r="Q305" s="233" cm="1">
        <f t="array" ref="Q305">SUMPRODUCT((H_tblBGTage=I305)*(H_tblBGMnt=E305)*H_tblBG%)</f>
        <v>1</v>
      </c>
      <c r="R305" s="231">
        <f t="shared" si="79"/>
        <v>8</v>
      </c>
      <c r="S305" s="237"/>
      <c r="T305" s="237"/>
      <c r="U305" s="236" cm="1">
        <f t="array" ref="U305">SUMPRODUCT((OKT!M_Verweiszeile=$H305)*OKT!M_ProdTag*(OKT!M_Monat=$E305))</f>
        <v>0</v>
      </c>
      <c r="V305" s="236" cm="1">
        <f t="array" ref="V305">SUMPRODUCT((OKT!M_Verweiszeile=$H305)*OKT!M_ProdN1*(OKT!M_Monat=$E305))</f>
        <v>0</v>
      </c>
      <c r="W305" s="236" cm="1">
        <f t="array" ref="W305">SUMPRODUCT((OKT!M_Verweiszeile=$H305)*OKT!M_ProdN2*(OKT!M_Monat=$E305))</f>
        <v>0</v>
      </c>
      <c r="X305" s="236">
        <f t="shared" si="80"/>
        <v>0</v>
      </c>
      <c r="Y305" s="236">
        <f t="shared" si="70"/>
        <v>0</v>
      </c>
      <c r="Z305" s="236">
        <f t="shared" si="71"/>
        <v>0</v>
      </c>
      <c r="AA305" s="236">
        <f t="shared" si="81"/>
        <v>0</v>
      </c>
      <c r="AB305" s="236">
        <f t="shared" si="82"/>
        <v>0</v>
      </c>
      <c r="AC305" s="236">
        <f t="shared" si="83"/>
        <v>0</v>
      </c>
    </row>
    <row r="306" spans="3:29" s="189" customFormat="1" x14ac:dyDescent="0.2">
      <c r="C306" s="129">
        <v>297</v>
      </c>
      <c r="D306" s="190">
        <f t="shared" si="84"/>
        <v>45588</v>
      </c>
      <c r="E306" s="129">
        <f t="shared" si="72"/>
        <v>10</v>
      </c>
      <c r="F306" s="191">
        <f t="shared" si="73"/>
        <v>45588</v>
      </c>
      <c r="G306" s="129">
        <f t="shared" si="74"/>
        <v>43</v>
      </c>
      <c r="H306" s="129">
        <f t="shared" si="75"/>
        <v>23</v>
      </c>
      <c r="I306" s="129">
        <f t="shared" si="76"/>
        <v>3</v>
      </c>
      <c r="J306" s="192">
        <f t="shared" si="77"/>
        <v>45588</v>
      </c>
      <c r="K306" s="129" t="str" cm="1">
        <f t="array" ref="K306">IF(AND(I306&lt;7,INDEX(B_tblFTMatrix,$E306,$H306)="x"),"ft","")</f>
        <v/>
      </c>
      <c r="L306" s="129"/>
      <c r="M306" s="129"/>
      <c r="N306" s="129">
        <f t="shared" si="68"/>
        <v>1</v>
      </c>
      <c r="O306" s="129">
        <f t="shared" si="78"/>
        <v>1</v>
      </c>
      <c r="P306" s="231">
        <f t="shared" si="69"/>
        <v>8</v>
      </c>
      <c r="Q306" s="233" cm="1">
        <f t="array" ref="Q306">SUMPRODUCT((H_tblBGTage=I306)*(H_tblBGMnt=E306)*H_tblBG%)</f>
        <v>1</v>
      </c>
      <c r="R306" s="231">
        <f t="shared" si="79"/>
        <v>8</v>
      </c>
      <c r="S306" s="237"/>
      <c r="T306" s="237"/>
      <c r="U306" s="236" cm="1">
        <f t="array" ref="U306">SUMPRODUCT((OKT!M_Verweiszeile=$H306)*OKT!M_ProdTag*(OKT!M_Monat=$E306))</f>
        <v>0</v>
      </c>
      <c r="V306" s="236" cm="1">
        <f t="array" ref="V306">SUMPRODUCT((OKT!M_Verweiszeile=$H306)*OKT!M_ProdN1*(OKT!M_Monat=$E306))</f>
        <v>0</v>
      </c>
      <c r="W306" s="236" cm="1">
        <f t="array" ref="W306">SUMPRODUCT((OKT!M_Verweiszeile=$H306)*OKT!M_ProdN2*(OKT!M_Monat=$E306))</f>
        <v>0</v>
      </c>
      <c r="X306" s="236">
        <f t="shared" si="80"/>
        <v>0</v>
      </c>
      <c r="Y306" s="236">
        <f t="shared" si="70"/>
        <v>0</v>
      </c>
      <c r="Z306" s="236">
        <f t="shared" si="71"/>
        <v>0</v>
      </c>
      <c r="AA306" s="236">
        <f t="shared" si="81"/>
        <v>0</v>
      </c>
      <c r="AB306" s="236">
        <f t="shared" si="82"/>
        <v>0</v>
      </c>
      <c r="AC306" s="236">
        <f t="shared" si="83"/>
        <v>0</v>
      </c>
    </row>
    <row r="307" spans="3:29" s="189" customFormat="1" x14ac:dyDescent="0.2">
      <c r="C307" s="129">
        <v>298</v>
      </c>
      <c r="D307" s="190">
        <f t="shared" si="84"/>
        <v>45589</v>
      </c>
      <c r="E307" s="129">
        <f t="shared" si="72"/>
        <v>10</v>
      </c>
      <c r="F307" s="191">
        <f t="shared" si="73"/>
        <v>45589</v>
      </c>
      <c r="G307" s="129">
        <f t="shared" si="74"/>
        <v>43</v>
      </c>
      <c r="H307" s="129">
        <f t="shared" si="75"/>
        <v>24</v>
      </c>
      <c r="I307" s="129">
        <f t="shared" si="76"/>
        <v>4</v>
      </c>
      <c r="J307" s="192">
        <f t="shared" si="77"/>
        <v>45589</v>
      </c>
      <c r="K307" s="129" t="str" cm="1">
        <f t="array" ref="K307">IF(AND(I307&lt;7,INDEX(B_tblFTMatrix,$E307,$H307)="x"),"ft","")</f>
        <v/>
      </c>
      <c r="L307" s="129"/>
      <c r="M307" s="129"/>
      <c r="N307" s="129">
        <f t="shared" si="68"/>
        <v>1</v>
      </c>
      <c r="O307" s="129">
        <f t="shared" si="78"/>
        <v>1</v>
      </c>
      <c r="P307" s="231">
        <f t="shared" si="69"/>
        <v>8</v>
      </c>
      <c r="Q307" s="233" cm="1">
        <f t="array" ref="Q307">SUMPRODUCT((H_tblBGTage=I307)*(H_tblBGMnt=E307)*H_tblBG%)</f>
        <v>1</v>
      </c>
      <c r="R307" s="231">
        <f t="shared" si="79"/>
        <v>8</v>
      </c>
      <c r="S307" s="237"/>
      <c r="T307" s="237"/>
      <c r="U307" s="236" cm="1">
        <f t="array" ref="U307">SUMPRODUCT((OKT!M_Verweiszeile=$H307)*OKT!M_ProdTag*(OKT!M_Monat=$E307))</f>
        <v>0</v>
      </c>
      <c r="V307" s="236" cm="1">
        <f t="array" ref="V307">SUMPRODUCT((OKT!M_Verweiszeile=$H307)*OKT!M_ProdN1*(OKT!M_Monat=$E307))</f>
        <v>0</v>
      </c>
      <c r="W307" s="236" cm="1">
        <f t="array" ref="W307">SUMPRODUCT((OKT!M_Verweiszeile=$H307)*OKT!M_ProdN2*(OKT!M_Monat=$E307))</f>
        <v>0</v>
      </c>
      <c r="X307" s="236">
        <f t="shared" si="80"/>
        <v>0</v>
      </c>
      <c r="Y307" s="236">
        <f t="shared" si="70"/>
        <v>0</v>
      </c>
      <c r="Z307" s="236">
        <f t="shared" si="71"/>
        <v>0</v>
      </c>
      <c r="AA307" s="236">
        <f t="shared" si="81"/>
        <v>0</v>
      </c>
      <c r="AB307" s="236">
        <f t="shared" si="82"/>
        <v>0</v>
      </c>
      <c r="AC307" s="236">
        <f t="shared" si="83"/>
        <v>0</v>
      </c>
    </row>
    <row r="308" spans="3:29" s="189" customFormat="1" x14ac:dyDescent="0.2">
      <c r="C308" s="129">
        <v>299</v>
      </c>
      <c r="D308" s="190">
        <f t="shared" si="84"/>
        <v>45590</v>
      </c>
      <c r="E308" s="129">
        <f t="shared" si="72"/>
        <v>10</v>
      </c>
      <c r="F308" s="191">
        <f t="shared" si="73"/>
        <v>45590</v>
      </c>
      <c r="G308" s="129">
        <f t="shared" si="74"/>
        <v>43</v>
      </c>
      <c r="H308" s="129">
        <f t="shared" si="75"/>
        <v>25</v>
      </c>
      <c r="I308" s="129">
        <f t="shared" si="76"/>
        <v>5</v>
      </c>
      <c r="J308" s="192">
        <f t="shared" si="77"/>
        <v>45590</v>
      </c>
      <c r="K308" s="129" t="str" cm="1">
        <f t="array" ref="K308">IF(AND(I308&lt;7,INDEX(B_tblFTMatrix,$E308,$H308)="x"),"ft","")</f>
        <v/>
      </c>
      <c r="L308" s="129"/>
      <c r="M308" s="129"/>
      <c r="N308" s="129">
        <f t="shared" si="68"/>
        <v>1</v>
      </c>
      <c r="O308" s="129">
        <f t="shared" si="78"/>
        <v>1</v>
      </c>
      <c r="P308" s="231">
        <f t="shared" si="69"/>
        <v>8</v>
      </c>
      <c r="Q308" s="233" cm="1">
        <f t="array" ref="Q308">SUMPRODUCT((H_tblBGTage=I308)*(H_tblBGMnt=E308)*H_tblBG%)</f>
        <v>1</v>
      </c>
      <c r="R308" s="231">
        <f t="shared" si="79"/>
        <v>8</v>
      </c>
      <c r="S308" s="237"/>
      <c r="T308" s="237"/>
      <c r="U308" s="236" cm="1">
        <f t="array" ref="U308">SUMPRODUCT((OKT!M_Verweiszeile=$H308)*OKT!M_ProdTag*(OKT!M_Monat=$E308))</f>
        <v>0</v>
      </c>
      <c r="V308" s="236" cm="1">
        <f t="array" ref="V308">SUMPRODUCT((OKT!M_Verweiszeile=$H308)*OKT!M_ProdN1*(OKT!M_Monat=$E308))</f>
        <v>0</v>
      </c>
      <c r="W308" s="236" cm="1">
        <f t="array" ref="W308">SUMPRODUCT((OKT!M_Verweiszeile=$H308)*OKT!M_ProdN2*(OKT!M_Monat=$E308))</f>
        <v>0</v>
      </c>
      <c r="X308" s="236">
        <f t="shared" si="80"/>
        <v>0</v>
      </c>
      <c r="Y308" s="236">
        <f t="shared" si="70"/>
        <v>0</v>
      </c>
      <c r="Z308" s="236">
        <f t="shared" si="71"/>
        <v>0</v>
      </c>
      <c r="AA308" s="236">
        <f t="shared" si="81"/>
        <v>0</v>
      </c>
      <c r="AB308" s="236">
        <f t="shared" si="82"/>
        <v>0</v>
      </c>
      <c r="AC308" s="236">
        <f t="shared" si="83"/>
        <v>0</v>
      </c>
    </row>
    <row r="309" spans="3:29" s="189" customFormat="1" x14ac:dyDescent="0.2">
      <c r="C309" s="129">
        <v>300</v>
      </c>
      <c r="D309" s="190">
        <f t="shared" si="84"/>
        <v>45591</v>
      </c>
      <c r="E309" s="129">
        <f t="shared" si="72"/>
        <v>10</v>
      </c>
      <c r="F309" s="191">
        <f t="shared" si="73"/>
        <v>45591</v>
      </c>
      <c r="G309" s="129">
        <f t="shared" si="74"/>
        <v>43</v>
      </c>
      <c r="H309" s="129">
        <f t="shared" si="75"/>
        <v>26</v>
      </c>
      <c r="I309" s="129">
        <f t="shared" si="76"/>
        <v>6</v>
      </c>
      <c r="J309" s="192">
        <f t="shared" si="77"/>
        <v>45591</v>
      </c>
      <c r="K309" s="129" t="str" cm="1">
        <f t="array" ref="K309">IF(AND(I309&lt;7,INDEX(B_tblFTMatrix,$E309,$H309)="x"),"ft","")</f>
        <v/>
      </c>
      <c r="L309" s="129"/>
      <c r="M309" s="129"/>
      <c r="N309" s="129">
        <f t="shared" si="68"/>
        <v>0</v>
      </c>
      <c r="O309" s="129">
        <f t="shared" si="78"/>
        <v>0</v>
      </c>
      <c r="P309" s="231">
        <f t="shared" si="69"/>
        <v>0</v>
      </c>
      <c r="Q309" s="233" cm="1">
        <f t="array" ref="Q309">SUMPRODUCT((H_tblBGTage=I309)*(H_tblBGMnt=E309)*H_tblBG%)</f>
        <v>0</v>
      </c>
      <c r="R309" s="231">
        <f t="shared" si="79"/>
        <v>0</v>
      </c>
      <c r="S309" s="237"/>
      <c r="T309" s="237"/>
      <c r="U309" s="236" cm="1">
        <f t="array" ref="U309">SUMPRODUCT((OKT!M_Verweiszeile=$H309)*OKT!M_ProdTag*(OKT!M_Monat=$E309))</f>
        <v>0</v>
      </c>
      <c r="V309" s="236" cm="1">
        <f t="array" ref="V309">SUMPRODUCT((OKT!M_Verweiszeile=$H309)*OKT!M_ProdN1*(OKT!M_Monat=$E309))</f>
        <v>0</v>
      </c>
      <c r="W309" s="236" cm="1">
        <f t="array" ref="W309">SUMPRODUCT((OKT!M_Verweiszeile=$H309)*OKT!M_ProdN2*(OKT!M_Monat=$E309))</f>
        <v>0</v>
      </c>
      <c r="X309" s="236">
        <f t="shared" si="80"/>
        <v>0</v>
      </c>
      <c r="Y309" s="236">
        <f t="shared" si="70"/>
        <v>0</v>
      </c>
      <c r="Z309" s="236">
        <f t="shared" si="71"/>
        <v>0</v>
      </c>
      <c r="AA309" s="236">
        <f t="shared" si="81"/>
        <v>0</v>
      </c>
      <c r="AB309" s="236">
        <f t="shared" si="82"/>
        <v>0</v>
      </c>
      <c r="AC309" s="236">
        <f t="shared" si="83"/>
        <v>0</v>
      </c>
    </row>
    <row r="310" spans="3:29" s="189" customFormat="1" x14ac:dyDescent="0.2">
      <c r="C310" s="129">
        <v>301</v>
      </c>
      <c r="D310" s="190">
        <f t="shared" si="84"/>
        <v>45592</v>
      </c>
      <c r="E310" s="129">
        <f t="shared" si="72"/>
        <v>10</v>
      </c>
      <c r="F310" s="191">
        <f t="shared" si="73"/>
        <v>45592</v>
      </c>
      <c r="G310" s="129">
        <f t="shared" si="74"/>
        <v>43</v>
      </c>
      <c r="H310" s="129">
        <f t="shared" si="75"/>
        <v>27</v>
      </c>
      <c r="I310" s="129">
        <f t="shared" si="76"/>
        <v>7</v>
      </c>
      <c r="J310" s="192">
        <f t="shared" si="77"/>
        <v>45592</v>
      </c>
      <c r="K310" s="129" t="str" cm="1">
        <f t="array" ref="K310">IF(AND(I310&lt;7,INDEX(B_tblFTMatrix,$E310,$H310)="x"),"ft","")</f>
        <v/>
      </c>
      <c r="L310" s="129"/>
      <c r="M310" s="129"/>
      <c r="N310" s="129">
        <f t="shared" si="68"/>
        <v>0</v>
      </c>
      <c r="O310" s="129">
        <f t="shared" si="78"/>
        <v>0</v>
      </c>
      <c r="P310" s="231">
        <f t="shared" si="69"/>
        <v>0</v>
      </c>
      <c r="Q310" s="233" cm="1">
        <f t="array" ref="Q310">SUMPRODUCT((H_tblBGTage=I310)*(H_tblBGMnt=E310)*H_tblBG%)</f>
        <v>0</v>
      </c>
      <c r="R310" s="231">
        <f t="shared" si="79"/>
        <v>0</v>
      </c>
      <c r="S310" s="237"/>
      <c r="T310" s="237"/>
      <c r="U310" s="236" cm="1">
        <f t="array" ref="U310">SUMPRODUCT((OKT!M_Verweiszeile=$H310)*OKT!M_ProdTag*(OKT!M_Monat=$E310))</f>
        <v>0</v>
      </c>
      <c r="V310" s="236" cm="1">
        <f t="array" ref="V310">SUMPRODUCT((OKT!M_Verweiszeile=$H310)*OKT!M_ProdN1*(OKT!M_Monat=$E310))</f>
        <v>0</v>
      </c>
      <c r="W310" s="236" cm="1">
        <f t="array" ref="W310">SUMPRODUCT((OKT!M_Verweiszeile=$H310)*OKT!M_ProdN2*(OKT!M_Monat=$E310))</f>
        <v>0</v>
      </c>
      <c r="X310" s="236">
        <f t="shared" si="80"/>
        <v>0</v>
      </c>
      <c r="Y310" s="236">
        <f t="shared" si="70"/>
        <v>0</v>
      </c>
      <c r="Z310" s="236">
        <f t="shared" si="71"/>
        <v>0</v>
      </c>
      <c r="AA310" s="236">
        <f t="shared" si="81"/>
        <v>0</v>
      </c>
      <c r="AB310" s="236">
        <f t="shared" si="82"/>
        <v>0</v>
      </c>
      <c r="AC310" s="236">
        <f t="shared" si="83"/>
        <v>0</v>
      </c>
    </row>
    <row r="311" spans="3:29" s="189" customFormat="1" x14ac:dyDescent="0.2">
      <c r="C311" s="129">
        <v>302</v>
      </c>
      <c r="D311" s="190">
        <f t="shared" si="84"/>
        <v>45593</v>
      </c>
      <c r="E311" s="129">
        <f t="shared" si="72"/>
        <v>10</v>
      </c>
      <c r="F311" s="191">
        <f t="shared" si="73"/>
        <v>45593</v>
      </c>
      <c r="G311" s="129">
        <f t="shared" si="74"/>
        <v>44</v>
      </c>
      <c r="H311" s="129">
        <f t="shared" si="75"/>
        <v>28</v>
      </c>
      <c r="I311" s="129">
        <f t="shared" si="76"/>
        <v>1</v>
      </c>
      <c r="J311" s="192">
        <f t="shared" si="77"/>
        <v>45593</v>
      </c>
      <c r="K311" s="129" t="str" cm="1">
        <f t="array" ref="K311">IF(AND(I311&lt;7,INDEX(B_tblFTMatrix,$E311,$H311)="x"),"ft","")</f>
        <v/>
      </c>
      <c r="L311" s="129"/>
      <c r="M311" s="129"/>
      <c r="N311" s="129">
        <f t="shared" si="68"/>
        <v>1</v>
      </c>
      <c r="O311" s="129">
        <f t="shared" si="78"/>
        <v>1</v>
      </c>
      <c r="P311" s="231">
        <f t="shared" si="69"/>
        <v>8</v>
      </c>
      <c r="Q311" s="233" cm="1">
        <f t="array" ref="Q311">SUMPRODUCT((H_tblBGTage=I311)*(H_tblBGMnt=E311)*H_tblBG%)</f>
        <v>1</v>
      </c>
      <c r="R311" s="231">
        <f t="shared" si="79"/>
        <v>8</v>
      </c>
      <c r="S311" s="237"/>
      <c r="T311" s="237"/>
      <c r="U311" s="236" cm="1">
        <f t="array" ref="U311">SUMPRODUCT((OKT!M_Verweiszeile=$H311)*OKT!M_ProdTag*(OKT!M_Monat=$E311))</f>
        <v>0</v>
      </c>
      <c r="V311" s="236" cm="1">
        <f t="array" ref="V311">SUMPRODUCT((OKT!M_Verweiszeile=$H311)*OKT!M_ProdN1*(OKT!M_Monat=$E311))</f>
        <v>0</v>
      </c>
      <c r="W311" s="236" cm="1">
        <f t="array" ref="W311">SUMPRODUCT((OKT!M_Verweiszeile=$H311)*OKT!M_ProdN2*(OKT!M_Monat=$E311))</f>
        <v>0</v>
      </c>
      <c r="X311" s="236">
        <f t="shared" si="80"/>
        <v>0</v>
      </c>
      <c r="Y311" s="236">
        <f t="shared" si="70"/>
        <v>0</v>
      </c>
      <c r="Z311" s="236">
        <f t="shared" si="71"/>
        <v>0</v>
      </c>
      <c r="AA311" s="236">
        <f t="shared" si="81"/>
        <v>0</v>
      </c>
      <c r="AB311" s="236">
        <f t="shared" si="82"/>
        <v>0</v>
      </c>
      <c r="AC311" s="236">
        <f t="shared" si="83"/>
        <v>0</v>
      </c>
    </row>
    <row r="312" spans="3:29" s="189" customFormat="1" x14ac:dyDescent="0.2">
      <c r="C312" s="129">
        <v>303</v>
      </c>
      <c r="D312" s="190">
        <f t="shared" si="84"/>
        <v>45594</v>
      </c>
      <c r="E312" s="129">
        <f t="shared" si="72"/>
        <v>10</v>
      </c>
      <c r="F312" s="191">
        <f t="shared" si="73"/>
        <v>45594</v>
      </c>
      <c r="G312" s="129">
        <f t="shared" si="74"/>
        <v>44</v>
      </c>
      <c r="H312" s="129">
        <f t="shared" si="75"/>
        <v>29</v>
      </c>
      <c r="I312" s="129">
        <f t="shared" si="76"/>
        <v>2</v>
      </c>
      <c r="J312" s="192">
        <f t="shared" si="77"/>
        <v>45594</v>
      </c>
      <c r="K312" s="129" t="str" cm="1">
        <f t="array" ref="K312">IF(AND(I312&lt;7,INDEX(B_tblFTMatrix,$E312,$H312)="x"),"ft","")</f>
        <v/>
      </c>
      <c r="L312" s="129"/>
      <c r="M312" s="129"/>
      <c r="N312" s="129">
        <f t="shared" si="68"/>
        <v>1</v>
      </c>
      <c r="O312" s="129">
        <f t="shared" si="78"/>
        <v>1</v>
      </c>
      <c r="P312" s="231">
        <f t="shared" si="69"/>
        <v>8</v>
      </c>
      <c r="Q312" s="233" cm="1">
        <f t="array" ref="Q312">SUMPRODUCT((H_tblBGTage=I312)*(H_tblBGMnt=E312)*H_tblBG%)</f>
        <v>1</v>
      </c>
      <c r="R312" s="231">
        <f t="shared" si="79"/>
        <v>8</v>
      </c>
      <c r="S312" s="237"/>
      <c r="T312" s="237"/>
      <c r="U312" s="236" cm="1">
        <f t="array" ref="U312">SUMPRODUCT((OKT!M_Verweiszeile=$H312)*OKT!M_ProdTag*(OKT!M_Monat=$E312))</f>
        <v>0</v>
      </c>
      <c r="V312" s="236" cm="1">
        <f t="array" ref="V312">SUMPRODUCT((OKT!M_Verweiszeile=$H312)*OKT!M_ProdN1*(OKT!M_Monat=$E312))</f>
        <v>0</v>
      </c>
      <c r="W312" s="236" cm="1">
        <f t="array" ref="W312">SUMPRODUCT((OKT!M_Verweiszeile=$H312)*OKT!M_ProdN2*(OKT!M_Monat=$E312))</f>
        <v>0</v>
      </c>
      <c r="X312" s="236">
        <f t="shared" si="80"/>
        <v>0</v>
      </c>
      <c r="Y312" s="236">
        <f t="shared" si="70"/>
        <v>0</v>
      </c>
      <c r="Z312" s="236">
        <f t="shared" si="71"/>
        <v>0</v>
      </c>
      <c r="AA312" s="236">
        <f t="shared" si="81"/>
        <v>0</v>
      </c>
      <c r="AB312" s="236">
        <f t="shared" si="82"/>
        <v>0</v>
      </c>
      <c r="AC312" s="236">
        <f t="shared" si="83"/>
        <v>0</v>
      </c>
    </row>
    <row r="313" spans="3:29" s="189" customFormat="1" x14ac:dyDescent="0.2">
      <c r="C313" s="129">
        <v>304</v>
      </c>
      <c r="D313" s="190">
        <f t="shared" si="84"/>
        <v>45595</v>
      </c>
      <c r="E313" s="129">
        <f t="shared" si="72"/>
        <v>10</v>
      </c>
      <c r="F313" s="191">
        <f t="shared" si="73"/>
        <v>45595</v>
      </c>
      <c r="G313" s="129">
        <f t="shared" si="74"/>
        <v>44</v>
      </c>
      <c r="H313" s="129">
        <f t="shared" si="75"/>
        <v>30</v>
      </c>
      <c r="I313" s="129">
        <f t="shared" si="76"/>
        <v>3</v>
      </c>
      <c r="J313" s="192">
        <f t="shared" si="77"/>
        <v>45595</v>
      </c>
      <c r="K313" s="129" t="str" cm="1">
        <f t="array" ref="K313">IF(AND(I313&lt;7,INDEX(B_tblFTMatrix,$E313,$H313)="x"),"ft","")</f>
        <v/>
      </c>
      <c r="L313" s="129"/>
      <c r="M313" s="129"/>
      <c r="N313" s="129">
        <f t="shared" si="68"/>
        <v>1</v>
      </c>
      <c r="O313" s="129">
        <f t="shared" si="78"/>
        <v>1</v>
      </c>
      <c r="P313" s="231">
        <f t="shared" si="69"/>
        <v>8</v>
      </c>
      <c r="Q313" s="233" cm="1">
        <f t="array" ref="Q313">SUMPRODUCT((H_tblBGTage=I313)*(H_tblBGMnt=E313)*H_tblBG%)</f>
        <v>1</v>
      </c>
      <c r="R313" s="231">
        <f t="shared" si="79"/>
        <v>8</v>
      </c>
      <c r="S313" s="237"/>
      <c r="T313" s="237"/>
      <c r="U313" s="236" cm="1">
        <f t="array" ref="U313">SUMPRODUCT((OKT!M_Verweiszeile=$H313)*OKT!M_ProdTag*(OKT!M_Monat=$E313))</f>
        <v>0</v>
      </c>
      <c r="V313" s="236" cm="1">
        <f t="array" ref="V313">SUMPRODUCT((OKT!M_Verweiszeile=$H313)*OKT!M_ProdN1*(OKT!M_Monat=$E313))</f>
        <v>0</v>
      </c>
      <c r="W313" s="236" cm="1">
        <f t="array" ref="W313">SUMPRODUCT((OKT!M_Verweiszeile=$H313)*OKT!M_ProdN2*(OKT!M_Monat=$E313))</f>
        <v>0</v>
      </c>
      <c r="X313" s="236">
        <f t="shared" si="80"/>
        <v>0</v>
      </c>
      <c r="Y313" s="236">
        <f t="shared" si="70"/>
        <v>0</v>
      </c>
      <c r="Z313" s="236">
        <f t="shared" si="71"/>
        <v>0</v>
      </c>
      <c r="AA313" s="236">
        <f t="shared" si="81"/>
        <v>0</v>
      </c>
      <c r="AB313" s="236">
        <f t="shared" si="82"/>
        <v>0</v>
      </c>
      <c r="AC313" s="236">
        <f t="shared" si="83"/>
        <v>0</v>
      </c>
    </row>
    <row r="314" spans="3:29" s="189" customFormat="1" x14ac:dyDescent="0.2">
      <c r="C314" s="129">
        <v>305</v>
      </c>
      <c r="D314" s="190">
        <f t="shared" si="84"/>
        <v>45596</v>
      </c>
      <c r="E314" s="129">
        <f t="shared" si="72"/>
        <v>10</v>
      </c>
      <c r="F314" s="191">
        <f t="shared" si="73"/>
        <v>45596</v>
      </c>
      <c r="G314" s="129">
        <f t="shared" si="74"/>
        <v>44</v>
      </c>
      <c r="H314" s="129">
        <f t="shared" si="75"/>
        <v>31</v>
      </c>
      <c r="I314" s="129">
        <f t="shared" si="76"/>
        <v>4</v>
      </c>
      <c r="J314" s="192">
        <f t="shared" si="77"/>
        <v>45596</v>
      </c>
      <c r="K314" s="129" t="str" cm="1">
        <f t="array" ref="K314">IF(AND(I314&lt;7,INDEX(B_tblFTMatrix,$E314,$H314)="x"),"ft","")</f>
        <v/>
      </c>
      <c r="L314" s="129"/>
      <c r="M314" s="129"/>
      <c r="N314" s="129">
        <f t="shared" si="68"/>
        <v>1</v>
      </c>
      <c r="O314" s="129">
        <f t="shared" si="78"/>
        <v>1</v>
      </c>
      <c r="P314" s="231">
        <f t="shared" si="69"/>
        <v>8</v>
      </c>
      <c r="Q314" s="233" cm="1">
        <f t="array" ref="Q314">SUMPRODUCT((H_tblBGTage=I314)*(H_tblBGMnt=E314)*H_tblBG%)</f>
        <v>1</v>
      </c>
      <c r="R314" s="231">
        <f t="shared" si="79"/>
        <v>8</v>
      </c>
      <c r="S314" s="237"/>
      <c r="T314" s="237"/>
      <c r="U314" s="319" cm="1">
        <f t="array" ref="U314">SUMPRODUCT((OKT!M_Verweiszeile=$H314)*OKT!M_ProdTag*(OKT!M_Monat=$E314))+SUMPRODUCT((NOV!M_Verweiszeile=$H314)*NOV!M_ProdTag*(NOV!M_Monat=$E314))</f>
        <v>0</v>
      </c>
      <c r="V314" s="236" cm="1">
        <f t="array" ref="V314">SUMPRODUCT((OKT!M_Verweiszeile=$H314)*OKT!M_ProdN1*(OKT!M_Monat=$E314))+SUMPRODUCT((NOV!M_Verweiszeile=$H314)*NOV!M_ProdN1*(NOV!M_Monat=$E314))</f>
        <v>0</v>
      </c>
      <c r="W314" s="236" cm="1">
        <f t="array" ref="W314">SUMPRODUCT((OKT!M_Verweiszeile=$H314)*OKT!M_ProdN2*(OKT!M_Monat=$E314))+SUMPRODUCT((NOV!M_Verweiszeile=$H314)*NOV!M_ProdN2*(NOV!M_Monat=$E314))</f>
        <v>0</v>
      </c>
      <c r="X314" s="236">
        <f t="shared" si="80"/>
        <v>0</v>
      </c>
      <c r="Y314" s="236">
        <f t="shared" si="70"/>
        <v>0</v>
      </c>
      <c r="Z314" s="236">
        <f t="shared" si="71"/>
        <v>0</v>
      </c>
      <c r="AA314" s="236">
        <f t="shared" si="81"/>
        <v>0</v>
      </c>
      <c r="AB314" s="236">
        <f t="shared" si="82"/>
        <v>0</v>
      </c>
      <c r="AC314" s="236">
        <f t="shared" si="83"/>
        <v>0</v>
      </c>
    </row>
    <row r="315" spans="3:29" s="189" customFormat="1" x14ac:dyDescent="0.2">
      <c r="C315" s="129">
        <v>306</v>
      </c>
      <c r="D315" s="190">
        <f t="shared" si="84"/>
        <v>45597</v>
      </c>
      <c r="E315" s="129">
        <f t="shared" si="72"/>
        <v>11</v>
      </c>
      <c r="F315" s="191">
        <f t="shared" si="73"/>
        <v>45597</v>
      </c>
      <c r="G315" s="129">
        <f t="shared" si="74"/>
        <v>44</v>
      </c>
      <c r="H315" s="129">
        <f t="shared" si="75"/>
        <v>1</v>
      </c>
      <c r="I315" s="129">
        <f t="shared" si="76"/>
        <v>5</v>
      </c>
      <c r="J315" s="192">
        <f t="shared" si="77"/>
        <v>45597</v>
      </c>
      <c r="K315" s="129" t="str" cm="1">
        <f t="array" ref="K315">IF(AND(I315&lt;7,INDEX(B_tblFTMatrix,$E315,$H315)="x"),"ft","")</f>
        <v/>
      </c>
      <c r="L315" s="129"/>
      <c r="M315" s="129"/>
      <c r="N315" s="129">
        <f t="shared" si="68"/>
        <v>1</v>
      </c>
      <c r="O315" s="129">
        <f t="shared" si="78"/>
        <v>1</v>
      </c>
      <c r="P315" s="231">
        <f t="shared" si="69"/>
        <v>8</v>
      </c>
      <c r="Q315" s="233" cm="1">
        <f t="array" ref="Q315">SUMPRODUCT((H_tblBGTage=I315)*(H_tblBGMnt=E315)*H_tblBG%)</f>
        <v>1</v>
      </c>
      <c r="R315" s="231">
        <f t="shared" si="79"/>
        <v>8</v>
      </c>
      <c r="S315" s="237"/>
      <c r="T315" s="237"/>
      <c r="U315" s="319" cm="1">
        <f t="array" ref="U315">SUMPRODUCT((NOV!M_Verweiszeile=$H315)*NOV!M_ProdTag*(NOV!M_Monat=$E315))</f>
        <v>0</v>
      </c>
      <c r="V315" s="236" cm="1">
        <f t="array" ref="V315">SUMPRODUCT((NOV!M_Verweiszeile=$H315)*NOV!M_ProdN1*(NOV!M_Monat=$E315))</f>
        <v>0</v>
      </c>
      <c r="W315" s="236" cm="1">
        <f t="array" ref="W315">SUMPRODUCT((NOV!M_Verweiszeile=$H315)*NOV!M_ProdN2*(NOV!M_Monat=$E315))</f>
        <v>0</v>
      </c>
      <c r="X315" s="236">
        <f t="shared" si="80"/>
        <v>0</v>
      </c>
      <c r="Y315" s="236">
        <f t="shared" si="70"/>
        <v>0</v>
      </c>
      <c r="Z315" s="236">
        <f t="shared" si="71"/>
        <v>0</v>
      </c>
      <c r="AA315" s="236">
        <f t="shared" si="81"/>
        <v>0</v>
      </c>
      <c r="AB315" s="236">
        <f t="shared" si="82"/>
        <v>0</v>
      </c>
      <c r="AC315" s="236">
        <f t="shared" si="83"/>
        <v>0</v>
      </c>
    </row>
    <row r="316" spans="3:29" s="189" customFormat="1" x14ac:dyDescent="0.2">
      <c r="C316" s="129">
        <v>307</v>
      </c>
      <c r="D316" s="190">
        <f t="shared" si="84"/>
        <v>45598</v>
      </c>
      <c r="E316" s="129">
        <f t="shared" si="72"/>
        <v>11</v>
      </c>
      <c r="F316" s="191">
        <f t="shared" si="73"/>
        <v>45598</v>
      </c>
      <c r="G316" s="129">
        <f t="shared" si="74"/>
        <v>44</v>
      </c>
      <c r="H316" s="129">
        <f t="shared" si="75"/>
        <v>2</v>
      </c>
      <c r="I316" s="129">
        <f t="shared" si="76"/>
        <v>6</v>
      </c>
      <c r="J316" s="192">
        <f t="shared" si="77"/>
        <v>45598</v>
      </c>
      <c r="K316" s="129" t="str" cm="1">
        <f t="array" ref="K316">IF(AND(I316&lt;7,INDEX(B_tblFTMatrix,$E316,$H316)="x"),"ft","")</f>
        <v/>
      </c>
      <c r="L316" s="129"/>
      <c r="M316" s="129"/>
      <c r="N316" s="129">
        <f t="shared" si="68"/>
        <v>0</v>
      </c>
      <c r="O316" s="129">
        <f t="shared" si="78"/>
        <v>0</v>
      </c>
      <c r="P316" s="231">
        <f t="shared" si="69"/>
        <v>0</v>
      </c>
      <c r="Q316" s="233" cm="1">
        <f t="array" ref="Q316">SUMPRODUCT((H_tblBGTage=I316)*(H_tblBGMnt=E316)*H_tblBG%)</f>
        <v>0</v>
      </c>
      <c r="R316" s="231">
        <f t="shared" si="79"/>
        <v>0</v>
      </c>
      <c r="S316" s="237"/>
      <c r="T316" s="237"/>
      <c r="U316" s="236" cm="1">
        <f t="array" ref="U316">SUMPRODUCT((NOV!M_Verweiszeile=$H316)*NOV!M_ProdTag*(NOV!M_Monat=$E316))</f>
        <v>0</v>
      </c>
      <c r="V316" s="236" cm="1">
        <f t="array" ref="V316">SUMPRODUCT((NOV!M_Verweiszeile=$H316)*NOV!M_ProdN1*(NOV!M_Monat=$E316))</f>
        <v>0</v>
      </c>
      <c r="W316" s="236" cm="1">
        <f t="array" ref="W316">SUMPRODUCT((NOV!M_Verweiszeile=$H316)*NOV!M_ProdN2*(NOV!M_Monat=$E316))</f>
        <v>0</v>
      </c>
      <c r="X316" s="236">
        <f t="shared" si="80"/>
        <v>0</v>
      </c>
      <c r="Y316" s="236">
        <f t="shared" si="70"/>
        <v>0</v>
      </c>
      <c r="Z316" s="236">
        <f t="shared" si="71"/>
        <v>0</v>
      </c>
      <c r="AA316" s="236">
        <f t="shared" si="81"/>
        <v>0</v>
      </c>
      <c r="AB316" s="236">
        <f t="shared" si="82"/>
        <v>0</v>
      </c>
      <c r="AC316" s="236">
        <f t="shared" si="83"/>
        <v>0</v>
      </c>
    </row>
    <row r="317" spans="3:29" s="189" customFormat="1" x14ac:dyDescent="0.2">
      <c r="C317" s="129">
        <v>308</v>
      </c>
      <c r="D317" s="190">
        <f t="shared" si="84"/>
        <v>45599</v>
      </c>
      <c r="E317" s="129">
        <f t="shared" si="72"/>
        <v>11</v>
      </c>
      <c r="F317" s="191">
        <f t="shared" si="73"/>
        <v>45599</v>
      </c>
      <c r="G317" s="129">
        <f t="shared" si="74"/>
        <v>44</v>
      </c>
      <c r="H317" s="129">
        <f t="shared" si="75"/>
        <v>3</v>
      </c>
      <c r="I317" s="129">
        <f t="shared" si="76"/>
        <v>7</v>
      </c>
      <c r="J317" s="192">
        <f t="shared" si="77"/>
        <v>45599</v>
      </c>
      <c r="K317" s="129" t="str" cm="1">
        <f t="array" ref="K317">IF(AND(I317&lt;7,INDEX(B_tblFTMatrix,$E317,$H317)="x"),"ft","")</f>
        <v/>
      </c>
      <c r="L317" s="129"/>
      <c r="M317" s="129"/>
      <c r="N317" s="129">
        <f t="shared" si="68"/>
        <v>0</v>
      </c>
      <c r="O317" s="129">
        <f t="shared" si="78"/>
        <v>0</v>
      </c>
      <c r="P317" s="231">
        <f t="shared" si="69"/>
        <v>0</v>
      </c>
      <c r="Q317" s="233" cm="1">
        <f t="array" ref="Q317">SUMPRODUCT((H_tblBGTage=I317)*(H_tblBGMnt=E317)*H_tblBG%)</f>
        <v>0</v>
      </c>
      <c r="R317" s="231">
        <f t="shared" si="79"/>
        <v>0</v>
      </c>
      <c r="S317" s="237"/>
      <c r="T317" s="237"/>
      <c r="U317" s="236" cm="1">
        <f t="array" ref="U317">SUMPRODUCT((NOV!M_Verweiszeile=$H317)*NOV!M_ProdTag*(NOV!M_Monat=$E317))</f>
        <v>0</v>
      </c>
      <c r="V317" s="236" cm="1">
        <f t="array" ref="V317">SUMPRODUCT((NOV!M_Verweiszeile=$H317)*NOV!M_ProdN1*(NOV!M_Monat=$E317))</f>
        <v>0</v>
      </c>
      <c r="W317" s="236" cm="1">
        <f t="array" ref="W317">SUMPRODUCT((NOV!M_Verweiszeile=$H317)*NOV!M_ProdN2*(NOV!M_Monat=$E317))</f>
        <v>0</v>
      </c>
      <c r="X317" s="236">
        <f t="shared" si="80"/>
        <v>0</v>
      </c>
      <c r="Y317" s="236">
        <f t="shared" si="70"/>
        <v>0</v>
      </c>
      <c r="Z317" s="236">
        <f t="shared" si="71"/>
        <v>0</v>
      </c>
      <c r="AA317" s="236">
        <f t="shared" si="81"/>
        <v>0</v>
      </c>
      <c r="AB317" s="236">
        <f t="shared" si="82"/>
        <v>0</v>
      </c>
      <c r="AC317" s="236">
        <f t="shared" si="83"/>
        <v>0</v>
      </c>
    </row>
    <row r="318" spans="3:29" s="189" customFormat="1" x14ac:dyDescent="0.2">
      <c r="C318" s="129">
        <v>309</v>
      </c>
      <c r="D318" s="190">
        <f t="shared" si="84"/>
        <v>45600</v>
      </c>
      <c r="E318" s="129">
        <f t="shared" si="72"/>
        <v>11</v>
      </c>
      <c r="F318" s="191">
        <f t="shared" si="73"/>
        <v>45600</v>
      </c>
      <c r="G318" s="129">
        <f t="shared" si="74"/>
        <v>45</v>
      </c>
      <c r="H318" s="129">
        <f t="shared" si="75"/>
        <v>4</v>
      </c>
      <c r="I318" s="129">
        <f t="shared" si="76"/>
        <v>1</v>
      </c>
      <c r="J318" s="192">
        <f t="shared" si="77"/>
        <v>45600</v>
      </c>
      <c r="K318" s="129" t="str" cm="1">
        <f t="array" ref="K318">IF(AND(I318&lt;7,INDEX(B_tblFTMatrix,$E318,$H318)="x"),"ft","")</f>
        <v/>
      </c>
      <c r="L318" s="129"/>
      <c r="M318" s="129"/>
      <c r="N318" s="129">
        <f t="shared" si="68"/>
        <v>1</v>
      </c>
      <c r="O318" s="129">
        <f t="shared" si="78"/>
        <v>1</v>
      </c>
      <c r="P318" s="231">
        <f t="shared" si="69"/>
        <v>8</v>
      </c>
      <c r="Q318" s="233" cm="1">
        <f t="array" ref="Q318">SUMPRODUCT((H_tblBGTage=I318)*(H_tblBGMnt=E318)*H_tblBG%)</f>
        <v>1</v>
      </c>
      <c r="R318" s="231">
        <f t="shared" si="79"/>
        <v>8</v>
      </c>
      <c r="S318" s="237"/>
      <c r="T318" s="237"/>
      <c r="U318" s="236" cm="1">
        <f t="array" ref="U318">SUMPRODUCT((NOV!M_Verweiszeile=$H318)*NOV!M_ProdTag*(NOV!M_Monat=$E318))</f>
        <v>0</v>
      </c>
      <c r="V318" s="236" cm="1">
        <f t="array" ref="V318">SUMPRODUCT((NOV!M_Verweiszeile=$H318)*NOV!M_ProdN1*(NOV!M_Monat=$E318))</f>
        <v>0</v>
      </c>
      <c r="W318" s="236" cm="1">
        <f t="array" ref="W318">SUMPRODUCT((NOV!M_Verweiszeile=$H318)*NOV!M_ProdN2*(NOV!M_Monat=$E318))</f>
        <v>0</v>
      </c>
      <c r="X318" s="236">
        <f t="shared" si="80"/>
        <v>0</v>
      </c>
      <c r="Y318" s="236">
        <f t="shared" si="70"/>
        <v>0</v>
      </c>
      <c r="Z318" s="236">
        <f t="shared" si="71"/>
        <v>0</v>
      </c>
      <c r="AA318" s="236">
        <f t="shared" si="81"/>
        <v>0</v>
      </c>
      <c r="AB318" s="236">
        <f t="shared" si="82"/>
        <v>0</v>
      </c>
      <c r="AC318" s="236">
        <f t="shared" si="83"/>
        <v>0</v>
      </c>
    </row>
    <row r="319" spans="3:29" s="189" customFormat="1" x14ac:dyDescent="0.2">
      <c r="C319" s="129">
        <v>310</v>
      </c>
      <c r="D319" s="190">
        <f t="shared" si="84"/>
        <v>45601</v>
      </c>
      <c r="E319" s="129">
        <f t="shared" si="72"/>
        <v>11</v>
      </c>
      <c r="F319" s="191">
        <f t="shared" si="73"/>
        <v>45601</v>
      </c>
      <c r="G319" s="129">
        <f t="shared" si="74"/>
        <v>45</v>
      </c>
      <c r="H319" s="129">
        <f t="shared" si="75"/>
        <v>5</v>
      </c>
      <c r="I319" s="129">
        <f t="shared" si="76"/>
        <v>2</v>
      </c>
      <c r="J319" s="192">
        <f t="shared" si="77"/>
        <v>45601</v>
      </c>
      <c r="K319" s="129" t="str" cm="1">
        <f t="array" ref="K319">IF(AND(I319&lt;7,INDEX(B_tblFTMatrix,$E319,$H319)="x"),"ft","")</f>
        <v/>
      </c>
      <c r="L319" s="129"/>
      <c r="M319" s="129"/>
      <c r="N319" s="129">
        <f t="shared" si="68"/>
        <v>1</v>
      </c>
      <c r="O319" s="129">
        <f t="shared" si="78"/>
        <v>1</v>
      </c>
      <c r="P319" s="231">
        <f t="shared" si="69"/>
        <v>8</v>
      </c>
      <c r="Q319" s="233" cm="1">
        <f t="array" ref="Q319">SUMPRODUCT((H_tblBGTage=I319)*(H_tblBGMnt=E319)*H_tblBG%)</f>
        <v>1</v>
      </c>
      <c r="R319" s="231">
        <f t="shared" si="79"/>
        <v>8</v>
      </c>
      <c r="S319" s="237"/>
      <c r="T319" s="237"/>
      <c r="U319" s="236" cm="1">
        <f t="array" ref="U319">SUMPRODUCT((NOV!M_Verweiszeile=$H319)*NOV!M_ProdTag*(NOV!M_Monat=$E319))</f>
        <v>0</v>
      </c>
      <c r="V319" s="236" cm="1">
        <f t="array" ref="V319">SUMPRODUCT((NOV!M_Verweiszeile=$H319)*NOV!M_ProdN1*(NOV!M_Monat=$E319))</f>
        <v>0</v>
      </c>
      <c r="W319" s="236" cm="1">
        <f t="array" ref="W319">SUMPRODUCT((NOV!M_Verweiszeile=$H319)*NOV!M_ProdN2*(NOV!M_Monat=$E319))</f>
        <v>0</v>
      </c>
      <c r="X319" s="236">
        <f t="shared" si="80"/>
        <v>0</v>
      </c>
      <c r="Y319" s="236">
        <f t="shared" si="70"/>
        <v>0</v>
      </c>
      <c r="Z319" s="236">
        <f t="shared" si="71"/>
        <v>0</v>
      </c>
      <c r="AA319" s="236">
        <f t="shared" si="81"/>
        <v>0</v>
      </c>
      <c r="AB319" s="236">
        <f t="shared" si="82"/>
        <v>0</v>
      </c>
      <c r="AC319" s="236">
        <f t="shared" si="83"/>
        <v>0</v>
      </c>
    </row>
    <row r="320" spans="3:29" s="189" customFormat="1" x14ac:dyDescent="0.2">
      <c r="C320" s="129">
        <v>311</v>
      </c>
      <c r="D320" s="190">
        <f t="shared" si="84"/>
        <v>45602</v>
      </c>
      <c r="E320" s="129">
        <f t="shared" si="72"/>
        <v>11</v>
      </c>
      <c r="F320" s="191">
        <f t="shared" si="73"/>
        <v>45602</v>
      </c>
      <c r="G320" s="129">
        <f t="shared" si="74"/>
        <v>45</v>
      </c>
      <c r="H320" s="129">
        <f t="shared" si="75"/>
        <v>6</v>
      </c>
      <c r="I320" s="129">
        <f t="shared" si="76"/>
        <v>3</v>
      </c>
      <c r="J320" s="192">
        <f t="shared" si="77"/>
        <v>45602</v>
      </c>
      <c r="K320" s="129" t="str" cm="1">
        <f t="array" ref="K320">IF(AND(I320&lt;7,INDEX(B_tblFTMatrix,$E320,$H320)="x"),"ft","")</f>
        <v/>
      </c>
      <c r="L320" s="129"/>
      <c r="M320" s="129"/>
      <c r="N320" s="129">
        <f t="shared" si="68"/>
        <v>1</v>
      </c>
      <c r="O320" s="129">
        <f t="shared" si="78"/>
        <v>1</v>
      </c>
      <c r="P320" s="231">
        <f t="shared" si="69"/>
        <v>8</v>
      </c>
      <c r="Q320" s="233" cm="1">
        <f t="array" ref="Q320">SUMPRODUCT((H_tblBGTage=I320)*(H_tblBGMnt=E320)*H_tblBG%)</f>
        <v>1</v>
      </c>
      <c r="R320" s="231">
        <f t="shared" si="79"/>
        <v>8</v>
      </c>
      <c r="S320" s="237"/>
      <c r="T320" s="237"/>
      <c r="U320" s="236" cm="1">
        <f t="array" ref="U320">SUMPRODUCT((NOV!M_Verweiszeile=$H320)*NOV!M_ProdTag*(NOV!M_Monat=$E320))</f>
        <v>0</v>
      </c>
      <c r="V320" s="236" cm="1">
        <f t="array" ref="V320">SUMPRODUCT((NOV!M_Verweiszeile=$H320)*NOV!M_ProdN1*(NOV!M_Monat=$E320))</f>
        <v>0</v>
      </c>
      <c r="W320" s="236" cm="1">
        <f t="array" ref="W320">SUMPRODUCT((NOV!M_Verweiszeile=$H320)*NOV!M_ProdN2*(NOV!M_Monat=$E320))</f>
        <v>0</v>
      </c>
      <c r="X320" s="236">
        <f t="shared" si="80"/>
        <v>0</v>
      </c>
      <c r="Y320" s="236">
        <f t="shared" si="70"/>
        <v>0</v>
      </c>
      <c r="Z320" s="236">
        <f t="shared" si="71"/>
        <v>0</v>
      </c>
      <c r="AA320" s="236">
        <f t="shared" si="81"/>
        <v>0</v>
      </c>
      <c r="AB320" s="236">
        <f t="shared" si="82"/>
        <v>0</v>
      </c>
      <c r="AC320" s="236">
        <f t="shared" si="83"/>
        <v>0</v>
      </c>
    </row>
    <row r="321" spans="3:29" s="189" customFormat="1" x14ac:dyDescent="0.2">
      <c r="C321" s="129">
        <v>312</v>
      </c>
      <c r="D321" s="190">
        <f t="shared" si="84"/>
        <v>45603</v>
      </c>
      <c r="E321" s="129">
        <f t="shared" si="72"/>
        <v>11</v>
      </c>
      <c r="F321" s="191">
        <f t="shared" si="73"/>
        <v>45603</v>
      </c>
      <c r="G321" s="129">
        <f t="shared" si="74"/>
        <v>45</v>
      </c>
      <c r="H321" s="129">
        <f t="shared" si="75"/>
        <v>7</v>
      </c>
      <c r="I321" s="129">
        <f t="shared" si="76"/>
        <v>4</v>
      </c>
      <c r="J321" s="192">
        <f t="shared" si="77"/>
        <v>45603</v>
      </c>
      <c r="K321" s="129" t="str" cm="1">
        <f t="array" ref="K321">IF(AND(I321&lt;7,INDEX(B_tblFTMatrix,$E321,$H321)="x"),"ft","")</f>
        <v/>
      </c>
      <c r="L321" s="129"/>
      <c r="M321" s="129"/>
      <c r="N321" s="129">
        <f t="shared" si="68"/>
        <v>1</v>
      </c>
      <c r="O321" s="129">
        <f t="shared" si="78"/>
        <v>1</v>
      </c>
      <c r="P321" s="231">
        <f t="shared" si="69"/>
        <v>8</v>
      </c>
      <c r="Q321" s="233" cm="1">
        <f t="array" ref="Q321">SUMPRODUCT((H_tblBGTage=I321)*(H_tblBGMnt=E321)*H_tblBG%)</f>
        <v>1</v>
      </c>
      <c r="R321" s="231">
        <f t="shared" si="79"/>
        <v>8</v>
      </c>
      <c r="S321" s="237"/>
      <c r="T321" s="237"/>
      <c r="U321" s="236" cm="1">
        <f t="array" ref="U321">SUMPRODUCT((NOV!M_Verweiszeile=$H321)*NOV!M_ProdTag*(NOV!M_Monat=$E321))</f>
        <v>0</v>
      </c>
      <c r="V321" s="236" cm="1">
        <f t="array" ref="V321">SUMPRODUCT((NOV!M_Verweiszeile=$H321)*NOV!M_ProdN1*(NOV!M_Monat=$E321))</f>
        <v>0</v>
      </c>
      <c r="W321" s="236" cm="1">
        <f t="array" ref="W321">SUMPRODUCT((NOV!M_Verweiszeile=$H321)*NOV!M_ProdN2*(NOV!M_Monat=$E321))</f>
        <v>0</v>
      </c>
      <c r="X321" s="236">
        <f t="shared" si="80"/>
        <v>0</v>
      </c>
      <c r="Y321" s="236">
        <f t="shared" si="70"/>
        <v>0</v>
      </c>
      <c r="Z321" s="236">
        <f t="shared" si="71"/>
        <v>0</v>
      </c>
      <c r="AA321" s="236">
        <f t="shared" si="81"/>
        <v>0</v>
      </c>
      <c r="AB321" s="236">
        <f t="shared" si="82"/>
        <v>0</v>
      </c>
      <c r="AC321" s="236">
        <f t="shared" si="83"/>
        <v>0</v>
      </c>
    </row>
    <row r="322" spans="3:29" s="189" customFormat="1" x14ac:dyDescent="0.2">
      <c r="C322" s="129">
        <v>313</v>
      </c>
      <c r="D322" s="190">
        <f t="shared" si="84"/>
        <v>45604</v>
      </c>
      <c r="E322" s="129">
        <f t="shared" si="72"/>
        <v>11</v>
      </c>
      <c r="F322" s="191">
        <f t="shared" si="73"/>
        <v>45604</v>
      </c>
      <c r="G322" s="129">
        <f t="shared" si="74"/>
        <v>45</v>
      </c>
      <c r="H322" s="129">
        <f t="shared" si="75"/>
        <v>8</v>
      </c>
      <c r="I322" s="129">
        <f t="shared" si="76"/>
        <v>5</v>
      </c>
      <c r="J322" s="192">
        <f t="shared" si="77"/>
        <v>45604</v>
      </c>
      <c r="K322" s="129" t="str" cm="1">
        <f t="array" ref="K322">IF(AND(I322&lt;7,INDEX(B_tblFTMatrix,$E322,$H322)="x"),"ft","")</f>
        <v/>
      </c>
      <c r="L322" s="129"/>
      <c r="M322" s="129"/>
      <c r="N322" s="129">
        <f t="shared" si="68"/>
        <v>1</v>
      </c>
      <c r="O322" s="129">
        <f t="shared" si="78"/>
        <v>1</v>
      </c>
      <c r="P322" s="231">
        <f t="shared" si="69"/>
        <v>8</v>
      </c>
      <c r="Q322" s="233" cm="1">
        <f t="array" ref="Q322">SUMPRODUCT((H_tblBGTage=I322)*(H_tblBGMnt=E322)*H_tblBG%)</f>
        <v>1</v>
      </c>
      <c r="R322" s="231">
        <f t="shared" si="79"/>
        <v>8</v>
      </c>
      <c r="S322" s="237"/>
      <c r="T322" s="237"/>
      <c r="U322" s="236" cm="1">
        <f t="array" ref="U322">SUMPRODUCT((NOV!M_Verweiszeile=$H322)*NOV!M_ProdTag*(NOV!M_Monat=$E322))</f>
        <v>0</v>
      </c>
      <c r="V322" s="236" cm="1">
        <f t="array" ref="V322">SUMPRODUCT((NOV!M_Verweiszeile=$H322)*NOV!M_ProdN1*(NOV!M_Monat=$E322))</f>
        <v>0</v>
      </c>
      <c r="W322" s="236" cm="1">
        <f t="array" ref="W322">SUMPRODUCT((NOV!M_Verweiszeile=$H322)*NOV!M_ProdN2*(NOV!M_Monat=$E322))</f>
        <v>0</v>
      </c>
      <c r="X322" s="236">
        <f t="shared" si="80"/>
        <v>0</v>
      </c>
      <c r="Y322" s="236">
        <f t="shared" si="70"/>
        <v>0</v>
      </c>
      <c r="Z322" s="236">
        <f t="shared" si="71"/>
        <v>0</v>
      </c>
      <c r="AA322" s="236">
        <f t="shared" si="81"/>
        <v>0</v>
      </c>
      <c r="AB322" s="236">
        <f t="shared" si="82"/>
        <v>0</v>
      </c>
      <c r="AC322" s="236">
        <f t="shared" si="83"/>
        <v>0</v>
      </c>
    </row>
    <row r="323" spans="3:29" s="189" customFormat="1" x14ac:dyDescent="0.2">
      <c r="C323" s="129">
        <v>314</v>
      </c>
      <c r="D323" s="190">
        <f t="shared" si="84"/>
        <v>45605</v>
      </c>
      <c r="E323" s="129">
        <f t="shared" si="72"/>
        <v>11</v>
      </c>
      <c r="F323" s="191">
        <f t="shared" si="73"/>
        <v>45605</v>
      </c>
      <c r="G323" s="129">
        <f t="shared" si="74"/>
        <v>45</v>
      </c>
      <c r="H323" s="129">
        <f t="shared" si="75"/>
        <v>9</v>
      </c>
      <c r="I323" s="129">
        <f t="shared" si="76"/>
        <v>6</v>
      </c>
      <c r="J323" s="192">
        <f t="shared" si="77"/>
        <v>45605</v>
      </c>
      <c r="K323" s="129" t="str" cm="1">
        <f t="array" ref="K323">IF(AND(I323&lt;7,INDEX(B_tblFTMatrix,$E323,$H323)="x"),"ft","")</f>
        <v/>
      </c>
      <c r="L323" s="129"/>
      <c r="M323" s="129"/>
      <c r="N323" s="129">
        <f t="shared" si="68"/>
        <v>0</v>
      </c>
      <c r="O323" s="129">
        <f t="shared" si="78"/>
        <v>0</v>
      </c>
      <c r="P323" s="231">
        <f t="shared" si="69"/>
        <v>0</v>
      </c>
      <c r="Q323" s="233" cm="1">
        <f t="array" ref="Q323">SUMPRODUCT((H_tblBGTage=I323)*(H_tblBGMnt=E323)*H_tblBG%)</f>
        <v>0</v>
      </c>
      <c r="R323" s="231">
        <f t="shared" si="79"/>
        <v>0</v>
      </c>
      <c r="S323" s="237"/>
      <c r="T323" s="237"/>
      <c r="U323" s="236" cm="1">
        <f t="array" ref="U323">SUMPRODUCT((NOV!M_Verweiszeile=$H323)*NOV!M_ProdTag*(NOV!M_Monat=$E323))</f>
        <v>0</v>
      </c>
      <c r="V323" s="236" cm="1">
        <f t="array" ref="V323">SUMPRODUCT((NOV!M_Verweiszeile=$H323)*NOV!M_ProdN1*(NOV!M_Monat=$E323))</f>
        <v>0</v>
      </c>
      <c r="W323" s="236" cm="1">
        <f t="array" ref="W323">SUMPRODUCT((NOV!M_Verweiszeile=$H323)*NOV!M_ProdN2*(NOV!M_Monat=$E323))</f>
        <v>0</v>
      </c>
      <c r="X323" s="236">
        <f t="shared" si="80"/>
        <v>0</v>
      </c>
      <c r="Y323" s="236">
        <f t="shared" si="70"/>
        <v>0</v>
      </c>
      <c r="Z323" s="236">
        <f t="shared" si="71"/>
        <v>0</v>
      </c>
      <c r="AA323" s="236">
        <f t="shared" si="81"/>
        <v>0</v>
      </c>
      <c r="AB323" s="236">
        <f t="shared" si="82"/>
        <v>0</v>
      </c>
      <c r="AC323" s="236">
        <f t="shared" si="83"/>
        <v>0</v>
      </c>
    </row>
    <row r="324" spans="3:29" s="189" customFormat="1" x14ac:dyDescent="0.2">
      <c r="C324" s="129">
        <v>315</v>
      </c>
      <c r="D324" s="190">
        <f t="shared" si="84"/>
        <v>45606</v>
      </c>
      <c r="E324" s="129">
        <f t="shared" si="72"/>
        <v>11</v>
      </c>
      <c r="F324" s="191">
        <f t="shared" si="73"/>
        <v>45606</v>
      </c>
      <c r="G324" s="129">
        <f t="shared" si="74"/>
        <v>45</v>
      </c>
      <c r="H324" s="129">
        <f t="shared" si="75"/>
        <v>10</v>
      </c>
      <c r="I324" s="129">
        <f t="shared" si="76"/>
        <v>7</v>
      </c>
      <c r="J324" s="192">
        <f t="shared" si="77"/>
        <v>45606</v>
      </c>
      <c r="K324" s="129" t="str" cm="1">
        <f t="array" ref="K324">IF(AND(I324&lt;7,INDEX(B_tblFTMatrix,$E324,$H324)="x"),"ft","")</f>
        <v/>
      </c>
      <c r="L324" s="129"/>
      <c r="M324" s="129"/>
      <c r="N324" s="129">
        <f t="shared" si="68"/>
        <v>0</v>
      </c>
      <c r="O324" s="129">
        <f t="shared" si="78"/>
        <v>0</v>
      </c>
      <c r="P324" s="231">
        <f t="shared" si="69"/>
        <v>0</v>
      </c>
      <c r="Q324" s="233" cm="1">
        <f t="array" ref="Q324">SUMPRODUCT((H_tblBGTage=I324)*(H_tblBGMnt=E324)*H_tblBG%)</f>
        <v>0</v>
      </c>
      <c r="R324" s="231">
        <f t="shared" si="79"/>
        <v>0</v>
      </c>
      <c r="S324" s="237"/>
      <c r="T324" s="237"/>
      <c r="U324" s="236" cm="1">
        <f t="array" ref="U324">SUMPRODUCT((NOV!M_Verweiszeile=$H324)*NOV!M_ProdTag*(NOV!M_Monat=$E324))</f>
        <v>0</v>
      </c>
      <c r="V324" s="236" cm="1">
        <f t="array" ref="V324">SUMPRODUCT((NOV!M_Verweiszeile=$H324)*NOV!M_ProdN1*(NOV!M_Monat=$E324))</f>
        <v>0</v>
      </c>
      <c r="W324" s="236" cm="1">
        <f t="array" ref="W324">SUMPRODUCT((NOV!M_Verweiszeile=$H324)*NOV!M_ProdN2*(NOV!M_Monat=$E324))</f>
        <v>0</v>
      </c>
      <c r="X324" s="236">
        <f t="shared" si="80"/>
        <v>0</v>
      </c>
      <c r="Y324" s="236">
        <f t="shared" si="70"/>
        <v>0</v>
      </c>
      <c r="Z324" s="236">
        <f t="shared" si="71"/>
        <v>0</v>
      </c>
      <c r="AA324" s="236">
        <f t="shared" si="81"/>
        <v>0</v>
      </c>
      <c r="AB324" s="236">
        <f t="shared" si="82"/>
        <v>0</v>
      </c>
      <c r="AC324" s="236">
        <f t="shared" si="83"/>
        <v>0</v>
      </c>
    </row>
    <row r="325" spans="3:29" s="189" customFormat="1" x14ac:dyDescent="0.2">
      <c r="C325" s="129">
        <v>316</v>
      </c>
      <c r="D325" s="190">
        <f t="shared" si="84"/>
        <v>45607</v>
      </c>
      <c r="E325" s="129">
        <f t="shared" si="72"/>
        <v>11</v>
      </c>
      <c r="F325" s="191">
        <f t="shared" si="73"/>
        <v>45607</v>
      </c>
      <c r="G325" s="129">
        <f t="shared" si="74"/>
        <v>46</v>
      </c>
      <c r="H325" s="129">
        <f t="shared" si="75"/>
        <v>11</v>
      </c>
      <c r="I325" s="129">
        <f t="shared" si="76"/>
        <v>1</v>
      </c>
      <c r="J325" s="192">
        <f t="shared" si="77"/>
        <v>45607</v>
      </c>
      <c r="K325" s="129" t="str" cm="1">
        <f t="array" ref="K325">IF(AND(I325&lt;7,INDEX(B_tblFTMatrix,$E325,$H325)="x"),"ft","")</f>
        <v/>
      </c>
      <c r="L325" s="129"/>
      <c r="M325" s="129"/>
      <c r="N325" s="129">
        <f t="shared" si="68"/>
        <v>1</v>
      </c>
      <c r="O325" s="129">
        <f t="shared" si="78"/>
        <v>1</v>
      </c>
      <c r="P325" s="231">
        <f t="shared" si="69"/>
        <v>8</v>
      </c>
      <c r="Q325" s="233" cm="1">
        <f t="array" ref="Q325">SUMPRODUCT((H_tblBGTage=I325)*(H_tblBGMnt=E325)*H_tblBG%)</f>
        <v>1</v>
      </c>
      <c r="R325" s="231">
        <f t="shared" si="79"/>
        <v>8</v>
      </c>
      <c r="S325" s="237"/>
      <c r="T325" s="237"/>
      <c r="U325" s="236" cm="1">
        <f t="array" ref="U325">SUMPRODUCT((NOV!M_Verweiszeile=$H325)*NOV!M_ProdTag*(NOV!M_Monat=$E325))</f>
        <v>0</v>
      </c>
      <c r="V325" s="236" cm="1">
        <f t="array" ref="V325">SUMPRODUCT((NOV!M_Verweiszeile=$H325)*NOV!M_ProdN1*(NOV!M_Monat=$E325))</f>
        <v>0</v>
      </c>
      <c r="W325" s="236" cm="1">
        <f t="array" ref="W325">SUMPRODUCT((NOV!M_Verweiszeile=$H325)*NOV!M_ProdN2*(NOV!M_Monat=$E325))</f>
        <v>0</v>
      </c>
      <c r="X325" s="236">
        <f t="shared" si="80"/>
        <v>0</v>
      </c>
      <c r="Y325" s="236">
        <f t="shared" si="70"/>
        <v>0</v>
      </c>
      <c r="Z325" s="236">
        <f t="shared" si="71"/>
        <v>0</v>
      </c>
      <c r="AA325" s="236">
        <f t="shared" si="81"/>
        <v>0</v>
      </c>
      <c r="AB325" s="236">
        <f t="shared" si="82"/>
        <v>0</v>
      </c>
      <c r="AC325" s="236">
        <f t="shared" si="83"/>
        <v>0</v>
      </c>
    </row>
    <row r="326" spans="3:29" s="189" customFormat="1" x14ac:dyDescent="0.2">
      <c r="C326" s="129">
        <v>317</v>
      </c>
      <c r="D326" s="190">
        <f t="shared" si="84"/>
        <v>45608</v>
      </c>
      <c r="E326" s="129">
        <f t="shared" si="72"/>
        <v>11</v>
      </c>
      <c r="F326" s="191">
        <f t="shared" si="73"/>
        <v>45608</v>
      </c>
      <c r="G326" s="129">
        <f t="shared" si="74"/>
        <v>46</v>
      </c>
      <c r="H326" s="129">
        <f t="shared" si="75"/>
        <v>12</v>
      </c>
      <c r="I326" s="129">
        <f t="shared" si="76"/>
        <v>2</v>
      </c>
      <c r="J326" s="192">
        <f t="shared" si="77"/>
        <v>45608</v>
      </c>
      <c r="K326" s="129" t="str" cm="1">
        <f t="array" ref="K326">IF(AND(I326&lt;7,INDEX(B_tblFTMatrix,$E326,$H326)="x"),"ft","")</f>
        <v/>
      </c>
      <c r="L326" s="129"/>
      <c r="M326" s="129"/>
      <c r="N326" s="129">
        <f t="shared" si="68"/>
        <v>1</v>
      </c>
      <c r="O326" s="129">
        <f t="shared" si="78"/>
        <v>1</v>
      </c>
      <c r="P326" s="231">
        <f t="shared" si="69"/>
        <v>8</v>
      </c>
      <c r="Q326" s="233" cm="1">
        <f t="array" ref="Q326">SUMPRODUCT((H_tblBGTage=I326)*(H_tblBGMnt=E326)*H_tblBG%)</f>
        <v>1</v>
      </c>
      <c r="R326" s="231">
        <f t="shared" si="79"/>
        <v>8</v>
      </c>
      <c r="S326" s="237"/>
      <c r="T326" s="237"/>
      <c r="U326" s="236" cm="1">
        <f t="array" ref="U326">SUMPRODUCT((NOV!M_Verweiszeile=$H326)*NOV!M_ProdTag*(NOV!M_Monat=$E326))</f>
        <v>0</v>
      </c>
      <c r="V326" s="236" cm="1">
        <f t="array" ref="V326">SUMPRODUCT((NOV!M_Verweiszeile=$H326)*NOV!M_ProdN1*(NOV!M_Monat=$E326))</f>
        <v>0</v>
      </c>
      <c r="W326" s="236" cm="1">
        <f t="array" ref="W326">SUMPRODUCT((NOV!M_Verweiszeile=$H326)*NOV!M_ProdN2*(NOV!M_Monat=$E326))</f>
        <v>0</v>
      </c>
      <c r="X326" s="236">
        <f t="shared" si="80"/>
        <v>0</v>
      </c>
      <c r="Y326" s="236">
        <f t="shared" si="70"/>
        <v>0</v>
      </c>
      <c r="Z326" s="236">
        <f t="shared" si="71"/>
        <v>0</v>
      </c>
      <c r="AA326" s="236">
        <f t="shared" si="81"/>
        <v>0</v>
      </c>
      <c r="AB326" s="236">
        <f t="shared" si="82"/>
        <v>0</v>
      </c>
      <c r="AC326" s="236">
        <f t="shared" si="83"/>
        <v>0</v>
      </c>
    </row>
    <row r="327" spans="3:29" s="189" customFormat="1" x14ac:dyDescent="0.2">
      <c r="C327" s="129">
        <v>318</v>
      </c>
      <c r="D327" s="190">
        <f t="shared" si="84"/>
        <v>45609</v>
      </c>
      <c r="E327" s="129">
        <f t="shared" si="72"/>
        <v>11</v>
      </c>
      <c r="F327" s="191">
        <f t="shared" si="73"/>
        <v>45609</v>
      </c>
      <c r="G327" s="129">
        <f t="shared" si="74"/>
        <v>46</v>
      </c>
      <c r="H327" s="129">
        <f t="shared" si="75"/>
        <v>13</v>
      </c>
      <c r="I327" s="129">
        <f t="shared" si="76"/>
        <v>3</v>
      </c>
      <c r="J327" s="192">
        <f t="shared" si="77"/>
        <v>45609</v>
      </c>
      <c r="K327" s="129" t="str" cm="1">
        <f t="array" ref="K327">IF(AND(I327&lt;7,INDEX(B_tblFTMatrix,$E327,$H327)="x"),"ft","")</f>
        <v/>
      </c>
      <c r="L327" s="129"/>
      <c r="M327" s="129"/>
      <c r="N327" s="129">
        <f t="shared" si="68"/>
        <v>1</v>
      </c>
      <c r="O327" s="129">
        <f t="shared" si="78"/>
        <v>1</v>
      </c>
      <c r="P327" s="231">
        <f t="shared" si="69"/>
        <v>8</v>
      </c>
      <c r="Q327" s="233" cm="1">
        <f t="array" ref="Q327">SUMPRODUCT((H_tblBGTage=I327)*(H_tblBGMnt=E327)*H_tblBG%)</f>
        <v>1</v>
      </c>
      <c r="R327" s="231">
        <f t="shared" si="79"/>
        <v>8</v>
      </c>
      <c r="S327" s="237"/>
      <c r="T327" s="237"/>
      <c r="U327" s="236" cm="1">
        <f t="array" ref="U327">SUMPRODUCT((NOV!M_Verweiszeile=$H327)*NOV!M_ProdTag*(NOV!M_Monat=$E327))</f>
        <v>0</v>
      </c>
      <c r="V327" s="236" cm="1">
        <f t="array" ref="V327">SUMPRODUCT((NOV!M_Verweiszeile=$H327)*NOV!M_ProdN1*(NOV!M_Monat=$E327))</f>
        <v>0</v>
      </c>
      <c r="W327" s="236" cm="1">
        <f t="array" ref="W327">SUMPRODUCT((NOV!M_Verweiszeile=$H327)*NOV!M_ProdN2*(NOV!M_Monat=$E327))</f>
        <v>0</v>
      </c>
      <c r="X327" s="236">
        <f t="shared" si="80"/>
        <v>0</v>
      </c>
      <c r="Y327" s="236">
        <f t="shared" si="70"/>
        <v>0</v>
      </c>
      <c r="Z327" s="236">
        <f t="shared" si="71"/>
        <v>0</v>
      </c>
      <c r="AA327" s="236">
        <f t="shared" si="81"/>
        <v>0</v>
      </c>
      <c r="AB327" s="236">
        <f t="shared" si="82"/>
        <v>0</v>
      </c>
      <c r="AC327" s="236">
        <f t="shared" si="83"/>
        <v>0</v>
      </c>
    </row>
    <row r="328" spans="3:29" s="189" customFormat="1" x14ac:dyDescent="0.2">
      <c r="C328" s="129">
        <v>319</v>
      </c>
      <c r="D328" s="190">
        <f t="shared" si="84"/>
        <v>45610</v>
      </c>
      <c r="E328" s="129">
        <f t="shared" si="72"/>
        <v>11</v>
      </c>
      <c r="F328" s="191">
        <f t="shared" si="73"/>
        <v>45610</v>
      </c>
      <c r="G328" s="129">
        <f t="shared" si="74"/>
        <v>46</v>
      </c>
      <c r="H328" s="129">
        <f t="shared" si="75"/>
        <v>14</v>
      </c>
      <c r="I328" s="129">
        <f t="shared" si="76"/>
        <v>4</v>
      </c>
      <c r="J328" s="192">
        <f t="shared" si="77"/>
        <v>45610</v>
      </c>
      <c r="K328" s="129" t="str" cm="1">
        <f t="array" ref="K328">IF(AND(I328&lt;7,INDEX(B_tblFTMatrix,$E328,$H328)="x"),"ft","")</f>
        <v/>
      </c>
      <c r="L328" s="129"/>
      <c r="M328" s="129"/>
      <c r="N328" s="129">
        <f t="shared" si="68"/>
        <v>1</v>
      </c>
      <c r="O328" s="129">
        <f t="shared" si="78"/>
        <v>1</v>
      </c>
      <c r="P328" s="231">
        <f t="shared" si="69"/>
        <v>8</v>
      </c>
      <c r="Q328" s="233" cm="1">
        <f t="array" ref="Q328">SUMPRODUCT((H_tblBGTage=I328)*(H_tblBGMnt=E328)*H_tblBG%)</f>
        <v>1</v>
      </c>
      <c r="R328" s="231">
        <f t="shared" si="79"/>
        <v>8</v>
      </c>
      <c r="S328" s="237"/>
      <c r="T328" s="237"/>
      <c r="U328" s="236" cm="1">
        <f t="array" ref="U328">SUMPRODUCT((NOV!M_Verweiszeile=$H328)*NOV!M_ProdTag*(NOV!M_Monat=$E328))</f>
        <v>0</v>
      </c>
      <c r="V328" s="236" cm="1">
        <f t="array" ref="V328">SUMPRODUCT((NOV!M_Verweiszeile=$H328)*NOV!M_ProdN1*(NOV!M_Monat=$E328))</f>
        <v>0</v>
      </c>
      <c r="W328" s="236" cm="1">
        <f t="array" ref="W328">SUMPRODUCT((NOV!M_Verweiszeile=$H328)*NOV!M_ProdN2*(NOV!M_Monat=$E328))</f>
        <v>0</v>
      </c>
      <c r="X328" s="236">
        <f t="shared" si="80"/>
        <v>0</v>
      </c>
      <c r="Y328" s="236">
        <f t="shared" si="70"/>
        <v>0</v>
      </c>
      <c r="Z328" s="236">
        <f t="shared" si="71"/>
        <v>0</v>
      </c>
      <c r="AA328" s="236">
        <f t="shared" si="81"/>
        <v>0</v>
      </c>
      <c r="AB328" s="236">
        <f t="shared" si="82"/>
        <v>0</v>
      </c>
      <c r="AC328" s="236">
        <f t="shared" si="83"/>
        <v>0</v>
      </c>
    </row>
    <row r="329" spans="3:29" s="189" customFormat="1" x14ac:dyDescent="0.2">
      <c r="C329" s="129">
        <v>320</v>
      </c>
      <c r="D329" s="190">
        <f t="shared" si="84"/>
        <v>45611</v>
      </c>
      <c r="E329" s="129">
        <f t="shared" si="72"/>
        <v>11</v>
      </c>
      <c r="F329" s="191">
        <f t="shared" si="73"/>
        <v>45611</v>
      </c>
      <c r="G329" s="129">
        <f t="shared" si="74"/>
        <v>46</v>
      </c>
      <c r="H329" s="129">
        <f t="shared" si="75"/>
        <v>15</v>
      </c>
      <c r="I329" s="129">
        <f t="shared" si="76"/>
        <v>5</v>
      </c>
      <c r="J329" s="192">
        <f t="shared" si="77"/>
        <v>45611</v>
      </c>
      <c r="K329" s="129" t="str" cm="1">
        <f t="array" ref="K329">IF(AND(I329&lt;7,INDEX(B_tblFTMatrix,$E329,$H329)="x"),"ft","")</f>
        <v/>
      </c>
      <c r="L329" s="129"/>
      <c r="M329" s="129"/>
      <c r="N329" s="129">
        <f t="shared" si="68"/>
        <v>1</v>
      </c>
      <c r="O329" s="129">
        <f t="shared" si="78"/>
        <v>1</v>
      </c>
      <c r="P329" s="231">
        <f t="shared" si="69"/>
        <v>8</v>
      </c>
      <c r="Q329" s="233" cm="1">
        <f t="array" ref="Q329">SUMPRODUCT((H_tblBGTage=I329)*(H_tblBGMnt=E329)*H_tblBG%)</f>
        <v>1</v>
      </c>
      <c r="R329" s="231">
        <f t="shared" si="79"/>
        <v>8</v>
      </c>
      <c r="S329" s="237"/>
      <c r="T329" s="237"/>
      <c r="U329" s="236" cm="1">
        <f t="array" ref="U329">SUMPRODUCT((NOV!M_Verweiszeile=$H329)*NOV!M_ProdTag*(NOV!M_Monat=$E329))</f>
        <v>0</v>
      </c>
      <c r="V329" s="236" cm="1">
        <f t="array" ref="V329">SUMPRODUCT((NOV!M_Verweiszeile=$H329)*NOV!M_ProdN1*(NOV!M_Monat=$E329))</f>
        <v>0</v>
      </c>
      <c r="W329" s="236" cm="1">
        <f t="array" ref="W329">SUMPRODUCT((NOV!M_Verweiszeile=$H329)*NOV!M_ProdN2*(NOV!M_Monat=$E329))</f>
        <v>0</v>
      </c>
      <c r="X329" s="236">
        <f t="shared" si="80"/>
        <v>0</v>
      </c>
      <c r="Y329" s="236">
        <f t="shared" si="70"/>
        <v>0</v>
      </c>
      <c r="Z329" s="236">
        <f t="shared" si="71"/>
        <v>0</v>
      </c>
      <c r="AA329" s="236">
        <f t="shared" si="81"/>
        <v>0</v>
      </c>
      <c r="AB329" s="236">
        <f t="shared" si="82"/>
        <v>0</v>
      </c>
      <c r="AC329" s="236">
        <f t="shared" si="83"/>
        <v>0</v>
      </c>
    </row>
    <row r="330" spans="3:29" s="189" customFormat="1" x14ac:dyDescent="0.2">
      <c r="C330" s="129">
        <v>321</v>
      </c>
      <c r="D330" s="190">
        <f t="shared" si="84"/>
        <v>45612</v>
      </c>
      <c r="E330" s="129">
        <f t="shared" si="72"/>
        <v>11</v>
      </c>
      <c r="F330" s="191">
        <f t="shared" si="73"/>
        <v>45612</v>
      </c>
      <c r="G330" s="129">
        <f t="shared" si="74"/>
        <v>46</v>
      </c>
      <c r="H330" s="129">
        <f t="shared" si="75"/>
        <v>16</v>
      </c>
      <c r="I330" s="129">
        <f t="shared" si="76"/>
        <v>6</v>
      </c>
      <c r="J330" s="192">
        <f t="shared" si="77"/>
        <v>45612</v>
      </c>
      <c r="K330" s="129" t="str" cm="1">
        <f t="array" ref="K330">IF(AND(I330&lt;7,INDEX(B_tblFTMatrix,$E330,$H330)="x"),"ft","")</f>
        <v/>
      </c>
      <c r="L330" s="129"/>
      <c r="M330" s="129"/>
      <c r="N330" s="129">
        <f t="shared" ref="N330:N374" si="85">IF(I330&lt;6,1,0)</f>
        <v>0</v>
      </c>
      <c r="O330" s="129">
        <f t="shared" si="78"/>
        <v>0</v>
      </c>
      <c r="P330" s="231">
        <f t="shared" ref="P330:P374" si="86">IFERROR($E$3*N330,0)</f>
        <v>0</v>
      </c>
      <c r="Q330" s="233" cm="1">
        <f t="array" ref="Q330">SUMPRODUCT((H_tblBGTage=I330)*(H_tblBGMnt=E330)*H_tblBG%)</f>
        <v>0</v>
      </c>
      <c r="R330" s="231">
        <f t="shared" si="79"/>
        <v>0</v>
      </c>
      <c r="S330" s="237"/>
      <c r="T330" s="237"/>
      <c r="U330" s="236" cm="1">
        <f t="array" ref="U330">SUMPRODUCT((NOV!M_Verweiszeile=$H330)*NOV!M_ProdTag*(NOV!M_Monat=$E330))</f>
        <v>0</v>
      </c>
      <c r="V330" s="236" cm="1">
        <f t="array" ref="V330">SUMPRODUCT((NOV!M_Verweiszeile=$H330)*NOV!M_ProdN1*(NOV!M_Monat=$E330))</f>
        <v>0</v>
      </c>
      <c r="W330" s="236" cm="1">
        <f t="array" ref="W330">SUMPRODUCT((NOV!M_Verweiszeile=$H330)*NOV!M_ProdN2*(NOV!M_Monat=$E330))</f>
        <v>0</v>
      </c>
      <c r="X330" s="236">
        <f t="shared" si="80"/>
        <v>0</v>
      </c>
      <c r="Y330" s="236">
        <f t="shared" ref="Y330:Y375" si="87">IFERROR(IF($K330="ft",R330,0),0)</f>
        <v>0</v>
      </c>
      <c r="Z330" s="236">
        <f t="shared" ref="Z330:Z375" si="88">SUM(V330:W330)*A_fldZ2</f>
        <v>0</v>
      </c>
      <c r="AA330" s="236">
        <f t="shared" si="81"/>
        <v>0</v>
      </c>
      <c r="AB330" s="236">
        <f t="shared" si="82"/>
        <v>0</v>
      </c>
      <c r="AC330" s="236">
        <f t="shared" si="83"/>
        <v>0</v>
      </c>
    </row>
    <row r="331" spans="3:29" s="189" customFormat="1" x14ac:dyDescent="0.2">
      <c r="C331" s="129">
        <v>322</v>
      </c>
      <c r="D331" s="190">
        <f t="shared" si="84"/>
        <v>45613</v>
      </c>
      <c r="E331" s="129">
        <f t="shared" ref="E331:E374" si="89">MONTH(D331)</f>
        <v>11</v>
      </c>
      <c r="F331" s="191">
        <f t="shared" ref="F331:F374" si="90">D331</f>
        <v>45613</v>
      </c>
      <c r="G331" s="129">
        <f t="shared" ref="G331:G374" si="91">_xlfn.ISOWEEKNUM(D331)</f>
        <v>46</v>
      </c>
      <c r="H331" s="129">
        <f t="shared" ref="H331:H374" si="92">DAY(D331)</f>
        <v>17</v>
      </c>
      <c r="I331" s="129">
        <f t="shared" ref="I331:I374" si="93">WEEKDAY(D331,2)</f>
        <v>7</v>
      </c>
      <c r="J331" s="192">
        <f t="shared" ref="J331:J374" si="94">D331</f>
        <v>45613</v>
      </c>
      <c r="K331" s="129" t="str" cm="1">
        <f t="array" ref="K331">IF(AND(I331&lt;7,INDEX(B_tblFTMatrix,$E331,$H331)="x"),"ft","")</f>
        <v/>
      </c>
      <c r="L331" s="129"/>
      <c r="M331" s="129"/>
      <c r="N331" s="129">
        <f t="shared" si="85"/>
        <v>0</v>
      </c>
      <c r="O331" s="129">
        <f t="shared" ref="O331:O375" si="95">IF(AND(L331&lt;&gt;"x",N331),1,0)</f>
        <v>0</v>
      </c>
      <c r="P331" s="231">
        <f t="shared" si="86"/>
        <v>0</v>
      </c>
      <c r="Q331" s="233" cm="1">
        <f t="array" ref="Q331">SUMPRODUCT((H_tblBGTage=I331)*(H_tblBGMnt=E331)*H_tblBG%)</f>
        <v>0</v>
      </c>
      <c r="R331" s="231">
        <f t="shared" ref="R331:R375" si="96">IFERROR(P331*Q331,0)</f>
        <v>0</v>
      </c>
      <c r="S331" s="237"/>
      <c r="T331" s="237"/>
      <c r="U331" s="236" cm="1">
        <f t="array" ref="U331">SUMPRODUCT((NOV!M_Verweiszeile=$H331)*NOV!M_ProdTag*(NOV!M_Monat=$E331))</f>
        <v>0</v>
      </c>
      <c r="V331" s="236" cm="1">
        <f t="array" ref="V331">SUMPRODUCT((NOV!M_Verweiszeile=$H331)*NOV!M_ProdN1*(NOV!M_Monat=$E331))</f>
        <v>0</v>
      </c>
      <c r="W331" s="236" cm="1">
        <f t="array" ref="W331">SUMPRODUCT((NOV!M_Verweiszeile=$H331)*NOV!M_ProdN2*(NOV!M_Monat=$E331))</f>
        <v>0</v>
      </c>
      <c r="X331" s="236">
        <f t="shared" ref="X331:X375" si="97">SUM(U331:W331)</f>
        <v>0</v>
      </c>
      <c r="Y331" s="236">
        <f t="shared" si="87"/>
        <v>0</v>
      </c>
      <c r="Z331" s="236">
        <f t="shared" si="88"/>
        <v>0</v>
      </c>
      <c r="AA331" s="236">
        <f t="shared" ref="AA331:AA375" si="98">IF(OR(I331=7,K331="ft"),X331,0)</f>
        <v>0</v>
      </c>
      <c r="AB331" s="236">
        <f t="shared" ref="AB331:AB375" si="99">SUM(Y331:AA331)</f>
        <v>0</v>
      </c>
      <c r="AC331" s="236">
        <f t="shared" ref="AC331:AC375" si="100">X331+AB331</f>
        <v>0</v>
      </c>
    </row>
    <row r="332" spans="3:29" s="189" customFormat="1" x14ac:dyDescent="0.2">
      <c r="C332" s="129">
        <v>323</v>
      </c>
      <c r="D332" s="190">
        <f t="shared" ref="D332:D375" si="101">D331+1</f>
        <v>45614</v>
      </c>
      <c r="E332" s="129">
        <f t="shared" si="89"/>
        <v>11</v>
      </c>
      <c r="F332" s="191">
        <f t="shared" si="90"/>
        <v>45614</v>
      </c>
      <c r="G332" s="129">
        <f t="shared" si="91"/>
        <v>47</v>
      </c>
      <c r="H332" s="129">
        <f t="shared" si="92"/>
        <v>18</v>
      </c>
      <c r="I332" s="129">
        <f t="shared" si="93"/>
        <v>1</v>
      </c>
      <c r="J332" s="192">
        <f t="shared" si="94"/>
        <v>45614</v>
      </c>
      <c r="K332" s="129" t="str" cm="1">
        <f t="array" ref="K332">IF(AND(I332&lt;7,INDEX(B_tblFTMatrix,$E332,$H332)="x"),"ft","")</f>
        <v/>
      </c>
      <c r="L332" s="129"/>
      <c r="M332" s="129"/>
      <c r="N332" s="129">
        <f t="shared" si="85"/>
        <v>1</v>
      </c>
      <c r="O332" s="129">
        <f t="shared" si="95"/>
        <v>1</v>
      </c>
      <c r="P332" s="231">
        <f t="shared" si="86"/>
        <v>8</v>
      </c>
      <c r="Q332" s="233" cm="1">
        <f t="array" ref="Q332">SUMPRODUCT((H_tblBGTage=I332)*(H_tblBGMnt=E332)*H_tblBG%)</f>
        <v>1</v>
      </c>
      <c r="R332" s="231">
        <f t="shared" si="96"/>
        <v>8</v>
      </c>
      <c r="S332" s="237"/>
      <c r="T332" s="237"/>
      <c r="U332" s="236" cm="1">
        <f t="array" ref="U332">SUMPRODUCT((NOV!M_Verweiszeile=$H332)*NOV!M_ProdTag*(NOV!M_Monat=$E332))</f>
        <v>0</v>
      </c>
      <c r="V332" s="236" cm="1">
        <f t="array" ref="V332">SUMPRODUCT((NOV!M_Verweiszeile=$H332)*NOV!M_ProdN1*(NOV!M_Monat=$E332))</f>
        <v>0</v>
      </c>
      <c r="W332" s="236" cm="1">
        <f t="array" ref="W332">SUMPRODUCT((NOV!M_Verweiszeile=$H332)*NOV!M_ProdN2*(NOV!M_Monat=$E332))</f>
        <v>0</v>
      </c>
      <c r="X332" s="236">
        <f t="shared" si="97"/>
        <v>0</v>
      </c>
      <c r="Y332" s="236">
        <f t="shared" si="87"/>
        <v>0</v>
      </c>
      <c r="Z332" s="236">
        <f t="shared" si="88"/>
        <v>0</v>
      </c>
      <c r="AA332" s="236">
        <f t="shared" si="98"/>
        <v>0</v>
      </c>
      <c r="AB332" s="236">
        <f t="shared" si="99"/>
        <v>0</v>
      </c>
      <c r="AC332" s="236">
        <f t="shared" si="100"/>
        <v>0</v>
      </c>
    </row>
    <row r="333" spans="3:29" s="189" customFormat="1" x14ac:dyDescent="0.2">
      <c r="C333" s="129">
        <v>324</v>
      </c>
      <c r="D333" s="190">
        <f t="shared" si="101"/>
        <v>45615</v>
      </c>
      <c r="E333" s="129">
        <f t="shared" si="89"/>
        <v>11</v>
      </c>
      <c r="F333" s="191">
        <f t="shared" si="90"/>
        <v>45615</v>
      </c>
      <c r="G333" s="129">
        <f t="shared" si="91"/>
        <v>47</v>
      </c>
      <c r="H333" s="129">
        <f t="shared" si="92"/>
        <v>19</v>
      </c>
      <c r="I333" s="129">
        <f t="shared" si="93"/>
        <v>2</v>
      </c>
      <c r="J333" s="192">
        <f t="shared" si="94"/>
        <v>45615</v>
      </c>
      <c r="K333" s="129" t="str" cm="1">
        <f t="array" ref="K333">IF(AND(I333&lt;7,INDEX(B_tblFTMatrix,$E333,$H333)="x"),"ft","")</f>
        <v/>
      </c>
      <c r="L333" s="129"/>
      <c r="M333" s="129"/>
      <c r="N333" s="129">
        <f t="shared" si="85"/>
        <v>1</v>
      </c>
      <c r="O333" s="129">
        <f t="shared" si="95"/>
        <v>1</v>
      </c>
      <c r="P333" s="231">
        <f t="shared" si="86"/>
        <v>8</v>
      </c>
      <c r="Q333" s="233" cm="1">
        <f t="array" ref="Q333">SUMPRODUCT((H_tblBGTage=I333)*(H_tblBGMnt=E333)*H_tblBG%)</f>
        <v>1</v>
      </c>
      <c r="R333" s="231">
        <f t="shared" si="96"/>
        <v>8</v>
      </c>
      <c r="S333" s="237"/>
      <c r="T333" s="237"/>
      <c r="U333" s="236" cm="1">
        <f t="array" ref="U333">SUMPRODUCT((NOV!M_Verweiszeile=$H333)*NOV!M_ProdTag*(NOV!M_Monat=$E333))</f>
        <v>0</v>
      </c>
      <c r="V333" s="236" cm="1">
        <f t="array" ref="V333">SUMPRODUCT((NOV!M_Verweiszeile=$H333)*NOV!M_ProdN1*(NOV!M_Monat=$E333))</f>
        <v>0</v>
      </c>
      <c r="W333" s="236" cm="1">
        <f t="array" ref="W333">SUMPRODUCT((NOV!M_Verweiszeile=$H333)*NOV!M_ProdN2*(NOV!M_Monat=$E333))</f>
        <v>0</v>
      </c>
      <c r="X333" s="236">
        <f t="shared" si="97"/>
        <v>0</v>
      </c>
      <c r="Y333" s="236">
        <f t="shared" si="87"/>
        <v>0</v>
      </c>
      <c r="Z333" s="236">
        <f t="shared" si="88"/>
        <v>0</v>
      </c>
      <c r="AA333" s="236">
        <f t="shared" si="98"/>
        <v>0</v>
      </c>
      <c r="AB333" s="236">
        <f t="shared" si="99"/>
        <v>0</v>
      </c>
      <c r="AC333" s="236">
        <f t="shared" si="100"/>
        <v>0</v>
      </c>
    </row>
    <row r="334" spans="3:29" s="189" customFormat="1" x14ac:dyDescent="0.2">
      <c r="C334" s="129">
        <v>325</v>
      </c>
      <c r="D334" s="190">
        <f t="shared" si="101"/>
        <v>45616</v>
      </c>
      <c r="E334" s="129">
        <f t="shared" si="89"/>
        <v>11</v>
      </c>
      <c r="F334" s="191">
        <f t="shared" si="90"/>
        <v>45616</v>
      </c>
      <c r="G334" s="129">
        <f t="shared" si="91"/>
        <v>47</v>
      </c>
      <c r="H334" s="129">
        <f t="shared" si="92"/>
        <v>20</v>
      </c>
      <c r="I334" s="129">
        <f t="shared" si="93"/>
        <v>3</v>
      </c>
      <c r="J334" s="192">
        <f t="shared" si="94"/>
        <v>45616</v>
      </c>
      <c r="K334" s="129" t="str" cm="1">
        <f t="array" ref="K334">IF(AND(I334&lt;7,INDEX(B_tblFTMatrix,$E334,$H334)="x"),"ft","")</f>
        <v/>
      </c>
      <c r="L334" s="129"/>
      <c r="M334" s="129"/>
      <c r="N334" s="129">
        <f t="shared" si="85"/>
        <v>1</v>
      </c>
      <c r="O334" s="129">
        <f t="shared" si="95"/>
        <v>1</v>
      </c>
      <c r="P334" s="231">
        <f t="shared" si="86"/>
        <v>8</v>
      </c>
      <c r="Q334" s="233" cm="1">
        <f t="array" ref="Q334">SUMPRODUCT((H_tblBGTage=I334)*(H_tblBGMnt=E334)*H_tblBG%)</f>
        <v>1</v>
      </c>
      <c r="R334" s="231">
        <f t="shared" si="96"/>
        <v>8</v>
      </c>
      <c r="S334" s="237"/>
      <c r="T334" s="237"/>
      <c r="U334" s="236" cm="1">
        <f t="array" ref="U334">SUMPRODUCT((NOV!M_Verweiszeile=$H334)*NOV!M_ProdTag*(NOV!M_Monat=$E334))</f>
        <v>0</v>
      </c>
      <c r="V334" s="236" cm="1">
        <f t="array" ref="V334">SUMPRODUCT((NOV!M_Verweiszeile=$H334)*NOV!M_ProdN1*(NOV!M_Monat=$E334))</f>
        <v>0</v>
      </c>
      <c r="W334" s="236" cm="1">
        <f t="array" ref="W334">SUMPRODUCT((NOV!M_Verweiszeile=$H334)*NOV!M_ProdN2*(NOV!M_Monat=$E334))</f>
        <v>0</v>
      </c>
      <c r="X334" s="236">
        <f t="shared" si="97"/>
        <v>0</v>
      </c>
      <c r="Y334" s="236">
        <f t="shared" si="87"/>
        <v>0</v>
      </c>
      <c r="Z334" s="236">
        <f t="shared" si="88"/>
        <v>0</v>
      </c>
      <c r="AA334" s="236">
        <f t="shared" si="98"/>
        <v>0</v>
      </c>
      <c r="AB334" s="236">
        <f t="shared" si="99"/>
        <v>0</v>
      </c>
      <c r="AC334" s="236">
        <f t="shared" si="100"/>
        <v>0</v>
      </c>
    </row>
    <row r="335" spans="3:29" s="189" customFormat="1" x14ac:dyDescent="0.2">
      <c r="C335" s="129">
        <v>326</v>
      </c>
      <c r="D335" s="190">
        <f t="shared" si="101"/>
        <v>45617</v>
      </c>
      <c r="E335" s="129">
        <f t="shared" si="89"/>
        <v>11</v>
      </c>
      <c r="F335" s="191">
        <f t="shared" si="90"/>
        <v>45617</v>
      </c>
      <c r="G335" s="129">
        <f t="shared" si="91"/>
        <v>47</v>
      </c>
      <c r="H335" s="129">
        <f t="shared" si="92"/>
        <v>21</v>
      </c>
      <c r="I335" s="129">
        <f t="shared" si="93"/>
        <v>4</v>
      </c>
      <c r="J335" s="192">
        <f t="shared" si="94"/>
        <v>45617</v>
      </c>
      <c r="K335" s="129" t="str" cm="1">
        <f t="array" ref="K335">IF(AND(I335&lt;7,INDEX(B_tblFTMatrix,$E335,$H335)="x"),"ft","")</f>
        <v/>
      </c>
      <c r="L335" s="129"/>
      <c r="M335" s="129"/>
      <c r="N335" s="129">
        <f t="shared" si="85"/>
        <v>1</v>
      </c>
      <c r="O335" s="129">
        <f t="shared" si="95"/>
        <v>1</v>
      </c>
      <c r="P335" s="231">
        <f t="shared" si="86"/>
        <v>8</v>
      </c>
      <c r="Q335" s="233" cm="1">
        <f t="array" ref="Q335">SUMPRODUCT((H_tblBGTage=I335)*(H_tblBGMnt=E335)*H_tblBG%)</f>
        <v>1</v>
      </c>
      <c r="R335" s="231">
        <f t="shared" si="96"/>
        <v>8</v>
      </c>
      <c r="S335" s="237"/>
      <c r="T335" s="237"/>
      <c r="U335" s="236" cm="1">
        <f t="array" ref="U335">SUMPRODUCT((NOV!M_Verweiszeile=$H335)*NOV!M_ProdTag*(NOV!M_Monat=$E335))</f>
        <v>0</v>
      </c>
      <c r="V335" s="236" cm="1">
        <f t="array" ref="V335">SUMPRODUCT((NOV!M_Verweiszeile=$H335)*NOV!M_ProdN1*(NOV!M_Monat=$E335))</f>
        <v>0</v>
      </c>
      <c r="W335" s="236" cm="1">
        <f t="array" ref="W335">SUMPRODUCT((NOV!M_Verweiszeile=$H335)*NOV!M_ProdN2*(NOV!M_Monat=$E335))</f>
        <v>0</v>
      </c>
      <c r="X335" s="236">
        <f t="shared" si="97"/>
        <v>0</v>
      </c>
      <c r="Y335" s="236">
        <f t="shared" si="87"/>
        <v>0</v>
      </c>
      <c r="Z335" s="236">
        <f t="shared" si="88"/>
        <v>0</v>
      </c>
      <c r="AA335" s="236">
        <f t="shared" si="98"/>
        <v>0</v>
      </c>
      <c r="AB335" s="236">
        <f t="shared" si="99"/>
        <v>0</v>
      </c>
      <c r="AC335" s="236">
        <f t="shared" si="100"/>
        <v>0</v>
      </c>
    </row>
    <row r="336" spans="3:29" s="189" customFormat="1" x14ac:dyDescent="0.2">
      <c r="C336" s="129">
        <v>327</v>
      </c>
      <c r="D336" s="190">
        <f t="shared" si="101"/>
        <v>45618</v>
      </c>
      <c r="E336" s="129">
        <f t="shared" si="89"/>
        <v>11</v>
      </c>
      <c r="F336" s="191">
        <f t="shared" si="90"/>
        <v>45618</v>
      </c>
      <c r="G336" s="129">
        <f t="shared" si="91"/>
        <v>47</v>
      </c>
      <c r="H336" s="129">
        <f t="shared" si="92"/>
        <v>22</v>
      </c>
      <c r="I336" s="129">
        <f t="shared" si="93"/>
        <v>5</v>
      </c>
      <c r="J336" s="192">
        <f t="shared" si="94"/>
        <v>45618</v>
      </c>
      <c r="K336" s="129" t="str" cm="1">
        <f t="array" ref="K336">IF(AND(I336&lt;7,INDEX(B_tblFTMatrix,$E336,$H336)="x"),"ft","")</f>
        <v/>
      </c>
      <c r="L336" s="129"/>
      <c r="M336" s="129"/>
      <c r="N336" s="129">
        <f t="shared" si="85"/>
        <v>1</v>
      </c>
      <c r="O336" s="129">
        <f t="shared" si="95"/>
        <v>1</v>
      </c>
      <c r="P336" s="231">
        <f t="shared" si="86"/>
        <v>8</v>
      </c>
      <c r="Q336" s="233" cm="1">
        <f t="array" ref="Q336">SUMPRODUCT((H_tblBGTage=I336)*(H_tblBGMnt=E336)*H_tblBG%)</f>
        <v>1</v>
      </c>
      <c r="R336" s="231">
        <f t="shared" si="96"/>
        <v>8</v>
      </c>
      <c r="S336" s="237"/>
      <c r="T336" s="237"/>
      <c r="U336" s="236" cm="1">
        <f t="array" ref="U336">SUMPRODUCT((NOV!M_Verweiszeile=$H336)*NOV!M_ProdTag*(NOV!M_Monat=$E336))</f>
        <v>0</v>
      </c>
      <c r="V336" s="236" cm="1">
        <f t="array" ref="V336">SUMPRODUCT((NOV!M_Verweiszeile=$H336)*NOV!M_ProdN1*(NOV!M_Monat=$E336))</f>
        <v>0</v>
      </c>
      <c r="W336" s="236" cm="1">
        <f t="array" ref="W336">SUMPRODUCT((NOV!M_Verweiszeile=$H336)*NOV!M_ProdN2*(NOV!M_Monat=$E336))</f>
        <v>0</v>
      </c>
      <c r="X336" s="236">
        <f t="shared" si="97"/>
        <v>0</v>
      </c>
      <c r="Y336" s="236">
        <f t="shared" si="87"/>
        <v>0</v>
      </c>
      <c r="Z336" s="236">
        <f t="shared" si="88"/>
        <v>0</v>
      </c>
      <c r="AA336" s="236">
        <f t="shared" si="98"/>
        <v>0</v>
      </c>
      <c r="AB336" s="236">
        <f t="shared" si="99"/>
        <v>0</v>
      </c>
      <c r="AC336" s="236">
        <f t="shared" si="100"/>
        <v>0</v>
      </c>
    </row>
    <row r="337" spans="3:29" s="189" customFormat="1" x14ac:dyDescent="0.2">
      <c r="C337" s="129">
        <v>328</v>
      </c>
      <c r="D337" s="190">
        <f t="shared" si="101"/>
        <v>45619</v>
      </c>
      <c r="E337" s="129">
        <f t="shared" si="89"/>
        <v>11</v>
      </c>
      <c r="F337" s="191">
        <f t="shared" si="90"/>
        <v>45619</v>
      </c>
      <c r="G337" s="129">
        <f t="shared" si="91"/>
        <v>47</v>
      </c>
      <c r="H337" s="129">
        <f t="shared" si="92"/>
        <v>23</v>
      </c>
      <c r="I337" s="129">
        <f t="shared" si="93"/>
        <v>6</v>
      </c>
      <c r="J337" s="192">
        <f t="shared" si="94"/>
        <v>45619</v>
      </c>
      <c r="K337" s="129" t="str" cm="1">
        <f t="array" ref="K337">IF(AND(I337&lt;7,INDEX(B_tblFTMatrix,$E337,$H337)="x"),"ft","")</f>
        <v/>
      </c>
      <c r="L337" s="129"/>
      <c r="M337" s="129"/>
      <c r="N337" s="129">
        <f t="shared" si="85"/>
        <v>0</v>
      </c>
      <c r="O337" s="129">
        <f t="shared" si="95"/>
        <v>0</v>
      </c>
      <c r="P337" s="231">
        <f t="shared" si="86"/>
        <v>0</v>
      </c>
      <c r="Q337" s="233" cm="1">
        <f t="array" ref="Q337">SUMPRODUCT((H_tblBGTage=I337)*(H_tblBGMnt=E337)*H_tblBG%)</f>
        <v>0</v>
      </c>
      <c r="R337" s="231">
        <f t="shared" si="96"/>
        <v>0</v>
      </c>
      <c r="S337" s="237"/>
      <c r="T337" s="237"/>
      <c r="U337" s="236" cm="1">
        <f t="array" ref="U337">SUMPRODUCT((NOV!M_Verweiszeile=$H337)*NOV!M_ProdTag*(NOV!M_Monat=$E337))</f>
        <v>0</v>
      </c>
      <c r="V337" s="236" cm="1">
        <f t="array" ref="V337">SUMPRODUCT((NOV!M_Verweiszeile=$H337)*NOV!M_ProdN1*(NOV!M_Monat=$E337))</f>
        <v>0</v>
      </c>
      <c r="W337" s="236" cm="1">
        <f t="array" ref="W337">SUMPRODUCT((NOV!M_Verweiszeile=$H337)*NOV!M_ProdN2*(NOV!M_Monat=$E337))</f>
        <v>0</v>
      </c>
      <c r="X337" s="236">
        <f t="shared" si="97"/>
        <v>0</v>
      </c>
      <c r="Y337" s="236">
        <f t="shared" si="87"/>
        <v>0</v>
      </c>
      <c r="Z337" s="236">
        <f t="shared" si="88"/>
        <v>0</v>
      </c>
      <c r="AA337" s="236">
        <f t="shared" si="98"/>
        <v>0</v>
      </c>
      <c r="AB337" s="236">
        <f t="shared" si="99"/>
        <v>0</v>
      </c>
      <c r="AC337" s="236">
        <f t="shared" si="100"/>
        <v>0</v>
      </c>
    </row>
    <row r="338" spans="3:29" s="189" customFormat="1" x14ac:dyDescent="0.2">
      <c r="C338" s="129">
        <v>329</v>
      </c>
      <c r="D338" s="190">
        <f t="shared" si="101"/>
        <v>45620</v>
      </c>
      <c r="E338" s="129">
        <f t="shared" si="89"/>
        <v>11</v>
      </c>
      <c r="F338" s="191">
        <f t="shared" si="90"/>
        <v>45620</v>
      </c>
      <c r="G338" s="129">
        <f t="shared" si="91"/>
        <v>47</v>
      </c>
      <c r="H338" s="129">
        <f t="shared" si="92"/>
        <v>24</v>
      </c>
      <c r="I338" s="129">
        <f t="shared" si="93"/>
        <v>7</v>
      </c>
      <c r="J338" s="192">
        <f t="shared" si="94"/>
        <v>45620</v>
      </c>
      <c r="K338" s="129" t="str" cm="1">
        <f t="array" ref="K338">IF(AND(I338&lt;7,INDEX(B_tblFTMatrix,$E338,$H338)="x"),"ft","")</f>
        <v/>
      </c>
      <c r="L338" s="129"/>
      <c r="M338" s="129"/>
      <c r="N338" s="129">
        <f t="shared" si="85"/>
        <v>0</v>
      </c>
      <c r="O338" s="129">
        <f t="shared" si="95"/>
        <v>0</v>
      </c>
      <c r="P338" s="231">
        <f t="shared" si="86"/>
        <v>0</v>
      </c>
      <c r="Q338" s="233" cm="1">
        <f t="array" ref="Q338">SUMPRODUCT((H_tblBGTage=I338)*(H_tblBGMnt=E338)*H_tblBG%)</f>
        <v>0</v>
      </c>
      <c r="R338" s="231">
        <f t="shared" si="96"/>
        <v>0</v>
      </c>
      <c r="S338" s="237"/>
      <c r="T338" s="237"/>
      <c r="U338" s="236" cm="1">
        <f t="array" ref="U338">SUMPRODUCT((NOV!M_Verweiszeile=$H338)*NOV!M_ProdTag*(NOV!M_Monat=$E338))</f>
        <v>0</v>
      </c>
      <c r="V338" s="236" cm="1">
        <f t="array" ref="V338">SUMPRODUCT((NOV!M_Verweiszeile=$H338)*NOV!M_ProdN1*(NOV!M_Monat=$E338))</f>
        <v>0</v>
      </c>
      <c r="W338" s="236" cm="1">
        <f t="array" ref="W338">SUMPRODUCT((NOV!M_Verweiszeile=$H338)*NOV!M_ProdN2*(NOV!M_Monat=$E338))</f>
        <v>0</v>
      </c>
      <c r="X338" s="236">
        <f t="shared" si="97"/>
        <v>0</v>
      </c>
      <c r="Y338" s="236">
        <f t="shared" si="87"/>
        <v>0</v>
      </c>
      <c r="Z338" s="236">
        <f t="shared" si="88"/>
        <v>0</v>
      </c>
      <c r="AA338" s="236">
        <f t="shared" si="98"/>
        <v>0</v>
      </c>
      <c r="AB338" s="236">
        <f t="shared" si="99"/>
        <v>0</v>
      </c>
      <c r="AC338" s="236">
        <f t="shared" si="100"/>
        <v>0</v>
      </c>
    </row>
    <row r="339" spans="3:29" s="189" customFormat="1" x14ac:dyDescent="0.2">
      <c r="C339" s="129">
        <v>330</v>
      </c>
      <c r="D339" s="190">
        <f t="shared" si="101"/>
        <v>45621</v>
      </c>
      <c r="E339" s="129">
        <f t="shared" si="89"/>
        <v>11</v>
      </c>
      <c r="F339" s="191">
        <f t="shared" si="90"/>
        <v>45621</v>
      </c>
      <c r="G339" s="129">
        <f t="shared" si="91"/>
        <v>48</v>
      </c>
      <c r="H339" s="129">
        <f t="shared" si="92"/>
        <v>25</v>
      </c>
      <c r="I339" s="129">
        <f t="shared" si="93"/>
        <v>1</v>
      </c>
      <c r="J339" s="192">
        <f t="shared" si="94"/>
        <v>45621</v>
      </c>
      <c r="K339" s="129" t="str" cm="1">
        <f t="array" ref="K339">IF(AND(I339&lt;7,INDEX(B_tblFTMatrix,$E339,$H339)="x"),"ft","")</f>
        <v/>
      </c>
      <c r="L339" s="129"/>
      <c r="M339" s="129"/>
      <c r="N339" s="129">
        <f t="shared" si="85"/>
        <v>1</v>
      </c>
      <c r="O339" s="129">
        <f t="shared" si="95"/>
        <v>1</v>
      </c>
      <c r="P339" s="231">
        <f t="shared" si="86"/>
        <v>8</v>
      </c>
      <c r="Q339" s="233" cm="1">
        <f t="array" ref="Q339">SUMPRODUCT((H_tblBGTage=I339)*(H_tblBGMnt=E339)*H_tblBG%)</f>
        <v>1</v>
      </c>
      <c r="R339" s="231">
        <f t="shared" si="96"/>
        <v>8</v>
      </c>
      <c r="S339" s="237"/>
      <c r="T339" s="237"/>
      <c r="U339" s="236" cm="1">
        <f t="array" ref="U339">SUMPRODUCT((NOV!M_Verweiszeile=$H339)*NOV!M_ProdTag*(NOV!M_Monat=$E339))</f>
        <v>0</v>
      </c>
      <c r="V339" s="236" cm="1">
        <f t="array" ref="V339">SUMPRODUCT((NOV!M_Verweiszeile=$H339)*NOV!M_ProdN1*(NOV!M_Monat=$E339))</f>
        <v>0</v>
      </c>
      <c r="W339" s="236" cm="1">
        <f t="array" ref="W339">SUMPRODUCT((NOV!M_Verweiszeile=$H339)*NOV!M_ProdN2*(NOV!M_Monat=$E339))</f>
        <v>0</v>
      </c>
      <c r="X339" s="236">
        <f t="shared" si="97"/>
        <v>0</v>
      </c>
      <c r="Y339" s="236">
        <f t="shared" si="87"/>
        <v>0</v>
      </c>
      <c r="Z339" s="236">
        <f t="shared" si="88"/>
        <v>0</v>
      </c>
      <c r="AA339" s="236">
        <f t="shared" si="98"/>
        <v>0</v>
      </c>
      <c r="AB339" s="236">
        <f t="shared" si="99"/>
        <v>0</v>
      </c>
      <c r="AC339" s="236">
        <f t="shared" si="100"/>
        <v>0</v>
      </c>
    </row>
    <row r="340" spans="3:29" s="189" customFormat="1" x14ac:dyDescent="0.2">
      <c r="C340" s="129">
        <v>331</v>
      </c>
      <c r="D340" s="190">
        <f t="shared" si="101"/>
        <v>45622</v>
      </c>
      <c r="E340" s="129">
        <f t="shared" si="89"/>
        <v>11</v>
      </c>
      <c r="F340" s="191">
        <f t="shared" si="90"/>
        <v>45622</v>
      </c>
      <c r="G340" s="129">
        <f t="shared" si="91"/>
        <v>48</v>
      </c>
      <c r="H340" s="129">
        <f t="shared" si="92"/>
        <v>26</v>
      </c>
      <c r="I340" s="129">
        <f t="shared" si="93"/>
        <v>2</v>
      </c>
      <c r="J340" s="192">
        <f t="shared" si="94"/>
        <v>45622</v>
      </c>
      <c r="K340" s="129" t="str" cm="1">
        <f t="array" ref="K340">IF(AND(I340&lt;7,INDEX(B_tblFTMatrix,$E340,$H340)="x"),"ft","")</f>
        <v/>
      </c>
      <c r="L340" s="129"/>
      <c r="M340" s="129"/>
      <c r="N340" s="129">
        <f t="shared" si="85"/>
        <v>1</v>
      </c>
      <c r="O340" s="129">
        <f t="shared" si="95"/>
        <v>1</v>
      </c>
      <c r="P340" s="231">
        <f t="shared" si="86"/>
        <v>8</v>
      </c>
      <c r="Q340" s="233" cm="1">
        <f t="array" ref="Q340">SUMPRODUCT((H_tblBGTage=I340)*(H_tblBGMnt=E340)*H_tblBG%)</f>
        <v>1</v>
      </c>
      <c r="R340" s="231">
        <f t="shared" si="96"/>
        <v>8</v>
      </c>
      <c r="S340" s="237"/>
      <c r="T340" s="237"/>
      <c r="U340" s="236" cm="1">
        <f t="array" ref="U340">SUMPRODUCT((NOV!M_Verweiszeile=$H340)*NOV!M_ProdTag*(NOV!M_Monat=$E340))</f>
        <v>0</v>
      </c>
      <c r="V340" s="236" cm="1">
        <f t="array" ref="V340">SUMPRODUCT((NOV!M_Verweiszeile=$H340)*NOV!M_ProdN1*(NOV!M_Monat=$E340))</f>
        <v>0</v>
      </c>
      <c r="W340" s="236" cm="1">
        <f t="array" ref="W340">SUMPRODUCT((NOV!M_Verweiszeile=$H340)*NOV!M_ProdN2*(NOV!M_Monat=$E340))</f>
        <v>0</v>
      </c>
      <c r="X340" s="236">
        <f t="shared" si="97"/>
        <v>0</v>
      </c>
      <c r="Y340" s="236">
        <f t="shared" si="87"/>
        <v>0</v>
      </c>
      <c r="Z340" s="236">
        <f t="shared" si="88"/>
        <v>0</v>
      </c>
      <c r="AA340" s="236">
        <f t="shared" si="98"/>
        <v>0</v>
      </c>
      <c r="AB340" s="236">
        <f t="shared" si="99"/>
        <v>0</v>
      </c>
      <c r="AC340" s="236">
        <f t="shared" si="100"/>
        <v>0</v>
      </c>
    </row>
    <row r="341" spans="3:29" s="189" customFormat="1" x14ac:dyDescent="0.2">
      <c r="C341" s="129">
        <v>332</v>
      </c>
      <c r="D341" s="190">
        <f t="shared" si="101"/>
        <v>45623</v>
      </c>
      <c r="E341" s="129">
        <f t="shared" si="89"/>
        <v>11</v>
      </c>
      <c r="F341" s="191">
        <f t="shared" si="90"/>
        <v>45623</v>
      </c>
      <c r="G341" s="129">
        <f t="shared" si="91"/>
        <v>48</v>
      </c>
      <c r="H341" s="129">
        <f t="shared" si="92"/>
        <v>27</v>
      </c>
      <c r="I341" s="129">
        <f t="shared" si="93"/>
        <v>3</v>
      </c>
      <c r="J341" s="192">
        <f t="shared" si="94"/>
        <v>45623</v>
      </c>
      <c r="K341" s="129" t="str" cm="1">
        <f t="array" ref="K341">IF(AND(I341&lt;7,INDEX(B_tblFTMatrix,$E341,$H341)="x"),"ft","")</f>
        <v/>
      </c>
      <c r="L341" s="129"/>
      <c r="M341" s="129"/>
      <c r="N341" s="129">
        <f t="shared" si="85"/>
        <v>1</v>
      </c>
      <c r="O341" s="129">
        <f t="shared" si="95"/>
        <v>1</v>
      </c>
      <c r="P341" s="231">
        <f t="shared" si="86"/>
        <v>8</v>
      </c>
      <c r="Q341" s="233" cm="1">
        <f t="array" ref="Q341">SUMPRODUCT((H_tblBGTage=I341)*(H_tblBGMnt=E341)*H_tblBG%)</f>
        <v>1</v>
      </c>
      <c r="R341" s="231">
        <f t="shared" si="96"/>
        <v>8</v>
      </c>
      <c r="S341" s="237"/>
      <c r="T341" s="237"/>
      <c r="U341" s="236" cm="1">
        <f t="array" ref="U341">SUMPRODUCT((NOV!M_Verweiszeile=$H341)*NOV!M_ProdTag*(NOV!M_Monat=$E341))</f>
        <v>0</v>
      </c>
      <c r="V341" s="236" cm="1">
        <f t="array" ref="V341">SUMPRODUCT((NOV!M_Verweiszeile=$H341)*NOV!M_ProdN1*(NOV!M_Monat=$E341))</f>
        <v>0</v>
      </c>
      <c r="W341" s="236" cm="1">
        <f t="array" ref="W341">SUMPRODUCT((NOV!M_Verweiszeile=$H341)*NOV!M_ProdN2*(NOV!M_Monat=$E341))</f>
        <v>0</v>
      </c>
      <c r="X341" s="236">
        <f t="shared" si="97"/>
        <v>0</v>
      </c>
      <c r="Y341" s="236">
        <f t="shared" si="87"/>
        <v>0</v>
      </c>
      <c r="Z341" s="236">
        <f t="shared" si="88"/>
        <v>0</v>
      </c>
      <c r="AA341" s="236">
        <f t="shared" si="98"/>
        <v>0</v>
      </c>
      <c r="AB341" s="236">
        <f t="shared" si="99"/>
        <v>0</v>
      </c>
      <c r="AC341" s="236">
        <f t="shared" si="100"/>
        <v>0</v>
      </c>
    </row>
    <row r="342" spans="3:29" s="189" customFormat="1" x14ac:dyDescent="0.2">
      <c r="C342" s="129">
        <v>333</v>
      </c>
      <c r="D342" s="190">
        <f t="shared" si="101"/>
        <v>45624</v>
      </c>
      <c r="E342" s="129">
        <f t="shared" si="89"/>
        <v>11</v>
      </c>
      <c r="F342" s="191">
        <f t="shared" si="90"/>
        <v>45624</v>
      </c>
      <c r="G342" s="129">
        <f t="shared" si="91"/>
        <v>48</v>
      </c>
      <c r="H342" s="129">
        <f t="shared" si="92"/>
        <v>28</v>
      </c>
      <c r="I342" s="129">
        <f t="shared" si="93"/>
        <v>4</v>
      </c>
      <c r="J342" s="192">
        <f t="shared" si="94"/>
        <v>45624</v>
      </c>
      <c r="K342" s="129" t="str" cm="1">
        <f t="array" ref="K342">IF(AND(I342&lt;7,INDEX(B_tblFTMatrix,$E342,$H342)="x"),"ft","")</f>
        <v/>
      </c>
      <c r="L342" s="129"/>
      <c r="M342" s="129"/>
      <c r="N342" s="129">
        <f t="shared" si="85"/>
        <v>1</v>
      </c>
      <c r="O342" s="129">
        <f t="shared" si="95"/>
        <v>1</v>
      </c>
      <c r="P342" s="231">
        <f t="shared" si="86"/>
        <v>8</v>
      </c>
      <c r="Q342" s="233" cm="1">
        <f t="array" ref="Q342">SUMPRODUCT((H_tblBGTage=I342)*(H_tblBGMnt=E342)*H_tblBG%)</f>
        <v>1</v>
      </c>
      <c r="R342" s="231">
        <f t="shared" si="96"/>
        <v>8</v>
      </c>
      <c r="S342" s="237"/>
      <c r="T342" s="237"/>
      <c r="U342" s="236" cm="1">
        <f t="array" ref="U342">SUMPRODUCT((NOV!M_Verweiszeile=$H342)*NOV!M_ProdTag*(NOV!M_Monat=$E342))</f>
        <v>0</v>
      </c>
      <c r="V342" s="236" cm="1">
        <f t="array" ref="V342">SUMPRODUCT((NOV!M_Verweiszeile=$H342)*NOV!M_ProdN1*(NOV!M_Monat=$E342))</f>
        <v>0</v>
      </c>
      <c r="W342" s="236" cm="1">
        <f t="array" ref="W342">SUMPRODUCT((NOV!M_Verweiszeile=$H342)*NOV!M_ProdN2*(NOV!M_Monat=$E342))</f>
        <v>0</v>
      </c>
      <c r="X342" s="236">
        <f t="shared" si="97"/>
        <v>0</v>
      </c>
      <c r="Y342" s="236">
        <f t="shared" si="87"/>
        <v>0</v>
      </c>
      <c r="Z342" s="236">
        <f t="shared" si="88"/>
        <v>0</v>
      </c>
      <c r="AA342" s="236">
        <f t="shared" si="98"/>
        <v>0</v>
      </c>
      <c r="AB342" s="236">
        <f t="shared" si="99"/>
        <v>0</v>
      </c>
      <c r="AC342" s="236">
        <f t="shared" si="100"/>
        <v>0</v>
      </c>
    </row>
    <row r="343" spans="3:29" s="189" customFormat="1" x14ac:dyDescent="0.2">
      <c r="C343" s="129">
        <v>334</v>
      </c>
      <c r="D343" s="190">
        <f t="shared" si="101"/>
        <v>45625</v>
      </c>
      <c r="E343" s="129">
        <f t="shared" si="89"/>
        <v>11</v>
      </c>
      <c r="F343" s="191">
        <f t="shared" si="90"/>
        <v>45625</v>
      </c>
      <c r="G343" s="129">
        <f t="shared" si="91"/>
        <v>48</v>
      </c>
      <c r="H343" s="129">
        <f t="shared" si="92"/>
        <v>29</v>
      </c>
      <c r="I343" s="129">
        <f t="shared" si="93"/>
        <v>5</v>
      </c>
      <c r="J343" s="192">
        <f t="shared" si="94"/>
        <v>45625</v>
      </c>
      <c r="K343" s="129" t="str" cm="1">
        <f t="array" ref="K343">IF(AND(I343&lt;7,INDEX(B_tblFTMatrix,$E343,$H343)="x"),"ft","")</f>
        <v/>
      </c>
      <c r="L343" s="129"/>
      <c r="M343" s="129"/>
      <c r="N343" s="129">
        <f t="shared" si="85"/>
        <v>1</v>
      </c>
      <c r="O343" s="129">
        <f t="shared" si="95"/>
        <v>1</v>
      </c>
      <c r="P343" s="231">
        <f t="shared" si="86"/>
        <v>8</v>
      </c>
      <c r="Q343" s="233" cm="1">
        <f t="array" ref="Q343">SUMPRODUCT((H_tblBGTage=I343)*(H_tblBGMnt=E343)*H_tblBG%)</f>
        <v>1</v>
      </c>
      <c r="R343" s="231">
        <f t="shared" si="96"/>
        <v>8</v>
      </c>
      <c r="S343" s="237"/>
      <c r="T343" s="237"/>
      <c r="U343" s="236" cm="1">
        <f t="array" ref="U343">SUMPRODUCT((NOV!M_Verweiszeile=$H343)*NOV!M_ProdTag*(NOV!M_Monat=$E343))</f>
        <v>0</v>
      </c>
      <c r="V343" s="236" cm="1">
        <f t="array" ref="V343">SUMPRODUCT((NOV!M_Verweiszeile=$H343)*NOV!M_ProdN1*(NOV!M_Monat=$E343))</f>
        <v>0</v>
      </c>
      <c r="W343" s="236" cm="1">
        <f t="array" ref="W343">SUMPRODUCT((NOV!M_Verweiszeile=$H343)*NOV!M_ProdN2*(NOV!M_Monat=$E343))</f>
        <v>0</v>
      </c>
      <c r="X343" s="236">
        <f t="shared" si="97"/>
        <v>0</v>
      </c>
      <c r="Y343" s="236">
        <f t="shared" si="87"/>
        <v>0</v>
      </c>
      <c r="Z343" s="236">
        <f t="shared" si="88"/>
        <v>0</v>
      </c>
      <c r="AA343" s="236">
        <f t="shared" si="98"/>
        <v>0</v>
      </c>
      <c r="AB343" s="236">
        <f t="shared" si="99"/>
        <v>0</v>
      </c>
      <c r="AC343" s="236">
        <f t="shared" si="100"/>
        <v>0</v>
      </c>
    </row>
    <row r="344" spans="3:29" s="189" customFormat="1" x14ac:dyDescent="0.2">
      <c r="C344" s="129">
        <v>335</v>
      </c>
      <c r="D344" s="190">
        <f t="shared" si="101"/>
        <v>45626</v>
      </c>
      <c r="E344" s="129">
        <f t="shared" si="89"/>
        <v>11</v>
      </c>
      <c r="F344" s="191">
        <f t="shared" si="90"/>
        <v>45626</v>
      </c>
      <c r="G344" s="129">
        <f t="shared" si="91"/>
        <v>48</v>
      </c>
      <c r="H344" s="129">
        <f t="shared" si="92"/>
        <v>30</v>
      </c>
      <c r="I344" s="129">
        <f t="shared" si="93"/>
        <v>6</v>
      </c>
      <c r="J344" s="192">
        <f t="shared" si="94"/>
        <v>45626</v>
      </c>
      <c r="K344" s="129" t="str" cm="1">
        <f t="array" ref="K344">IF(AND(I344&lt;7,INDEX(B_tblFTMatrix,$E344,$H344)="x"),"ft","")</f>
        <v/>
      </c>
      <c r="L344" s="129"/>
      <c r="M344" s="129"/>
      <c r="N344" s="129">
        <f t="shared" si="85"/>
        <v>0</v>
      </c>
      <c r="O344" s="129">
        <f t="shared" si="95"/>
        <v>0</v>
      </c>
      <c r="P344" s="231">
        <f t="shared" si="86"/>
        <v>0</v>
      </c>
      <c r="Q344" s="233" cm="1">
        <f t="array" ref="Q344">SUMPRODUCT((H_tblBGTage=I344)*(H_tblBGMnt=E344)*H_tblBG%)</f>
        <v>0</v>
      </c>
      <c r="R344" s="231">
        <f t="shared" si="96"/>
        <v>0</v>
      </c>
      <c r="S344" s="237"/>
      <c r="T344" s="237"/>
      <c r="U344" s="319" cm="1">
        <f t="array" ref="U344">SUMPRODUCT((NOV!M_Verweiszeile=$H344)*NOV!M_ProdTag*(NOV!M_Monat=$E344))+SUMPRODUCT((DEZ!M_Verweiszeile=$H344)*DEZ!M_ProdTag*(DEZ!M_Monat=$E344))</f>
        <v>0</v>
      </c>
      <c r="V344" s="236" cm="1">
        <f t="array" ref="V344">SUMPRODUCT((NOV!M_Verweiszeile=$H344)*NOV!M_ProdN1*(NOV!M_Monat=$E344))+SUMPRODUCT((DEZ!M_Verweiszeile=$H344)*DEZ!M_ProdN1*(DEZ!M_Monat=$E344))</f>
        <v>0</v>
      </c>
      <c r="W344" s="236" cm="1">
        <f t="array" ref="W344">SUMPRODUCT((NOV!M_Verweiszeile=$H344)*NOV!M_ProdN2*(NOV!M_Monat=$E344))+SUMPRODUCT((DEZ!M_Verweiszeile=$H344)*DEZ!M_ProdN2*(DEZ!M_Monat=$E344))</f>
        <v>0</v>
      </c>
      <c r="X344" s="236">
        <f t="shared" si="97"/>
        <v>0</v>
      </c>
      <c r="Y344" s="236">
        <f t="shared" si="87"/>
        <v>0</v>
      </c>
      <c r="Z344" s="236">
        <f t="shared" si="88"/>
        <v>0</v>
      </c>
      <c r="AA344" s="236">
        <f t="shared" si="98"/>
        <v>0</v>
      </c>
      <c r="AB344" s="236">
        <f t="shared" si="99"/>
        <v>0</v>
      </c>
      <c r="AC344" s="236">
        <f t="shared" si="100"/>
        <v>0</v>
      </c>
    </row>
    <row r="345" spans="3:29" s="189" customFormat="1" x14ac:dyDescent="0.2">
      <c r="C345" s="129">
        <v>336</v>
      </c>
      <c r="D345" s="190">
        <f t="shared" si="101"/>
        <v>45627</v>
      </c>
      <c r="E345" s="129">
        <f t="shared" si="89"/>
        <v>12</v>
      </c>
      <c r="F345" s="191">
        <f t="shared" si="90"/>
        <v>45627</v>
      </c>
      <c r="G345" s="129">
        <f t="shared" si="91"/>
        <v>48</v>
      </c>
      <c r="H345" s="129">
        <f t="shared" si="92"/>
        <v>1</v>
      </c>
      <c r="I345" s="129">
        <f t="shared" si="93"/>
        <v>7</v>
      </c>
      <c r="J345" s="192">
        <f t="shared" si="94"/>
        <v>45627</v>
      </c>
      <c r="K345" s="129" t="str" cm="1">
        <f t="array" ref="K345">IF(AND(I345&lt;7,INDEX(B_tblFTMatrix,$E345,$H345)="x"),"ft","")</f>
        <v/>
      </c>
      <c r="L345" s="129"/>
      <c r="M345" s="129"/>
      <c r="N345" s="129">
        <f t="shared" si="85"/>
        <v>0</v>
      </c>
      <c r="O345" s="129">
        <f t="shared" si="95"/>
        <v>0</v>
      </c>
      <c r="P345" s="231">
        <f t="shared" si="86"/>
        <v>0</v>
      </c>
      <c r="Q345" s="233" cm="1">
        <f t="array" ref="Q345">SUMPRODUCT((H_tblBGTage=I345)*(H_tblBGMnt=E345)*H_tblBG%)</f>
        <v>0</v>
      </c>
      <c r="R345" s="231">
        <f t="shared" si="96"/>
        <v>0</v>
      </c>
      <c r="S345" s="237"/>
      <c r="T345" s="237"/>
      <c r="U345" s="319" cm="1">
        <f t="array" ref="U345">SUMPRODUCT((DEZ!M_Verweiszeile=$H345)*DEZ!M_ProdTag*(DEZ!M_Monat=$E345))</f>
        <v>0</v>
      </c>
      <c r="V345" s="236" cm="1">
        <f t="array" ref="V345">SUMPRODUCT((DEZ!M_Verweiszeile=$H345)*DEZ!M_ProdN1*(DEZ!M_Monat=$E345))</f>
        <v>0</v>
      </c>
      <c r="W345" s="236" cm="1">
        <f t="array" ref="W345">SUMPRODUCT((DEZ!M_Verweiszeile=$H345)*DEZ!M_ProdN2*(DEZ!M_Monat=$E345))</f>
        <v>0</v>
      </c>
      <c r="X345" s="236">
        <f t="shared" si="97"/>
        <v>0</v>
      </c>
      <c r="Y345" s="236">
        <f t="shared" si="87"/>
        <v>0</v>
      </c>
      <c r="Z345" s="236">
        <f t="shared" si="88"/>
        <v>0</v>
      </c>
      <c r="AA345" s="236">
        <f t="shared" si="98"/>
        <v>0</v>
      </c>
      <c r="AB345" s="236">
        <f t="shared" si="99"/>
        <v>0</v>
      </c>
      <c r="AC345" s="236">
        <f t="shared" si="100"/>
        <v>0</v>
      </c>
    </row>
    <row r="346" spans="3:29" s="189" customFormat="1" x14ac:dyDescent="0.2">
      <c r="C346" s="129">
        <v>337</v>
      </c>
      <c r="D346" s="190">
        <f t="shared" si="101"/>
        <v>45628</v>
      </c>
      <c r="E346" s="129">
        <f t="shared" si="89"/>
        <v>12</v>
      </c>
      <c r="F346" s="191">
        <f t="shared" si="90"/>
        <v>45628</v>
      </c>
      <c r="G346" s="129">
        <f t="shared" si="91"/>
        <v>49</v>
      </c>
      <c r="H346" s="129">
        <f t="shared" si="92"/>
        <v>2</v>
      </c>
      <c r="I346" s="129">
        <f t="shared" si="93"/>
        <v>1</v>
      </c>
      <c r="J346" s="192">
        <f t="shared" si="94"/>
        <v>45628</v>
      </c>
      <c r="K346" s="129" t="str" cm="1">
        <f t="array" ref="K346">IF(AND(I346&lt;7,INDEX(B_tblFTMatrix,$E346,$H346)="x"),"ft","")</f>
        <v/>
      </c>
      <c r="L346" s="129"/>
      <c r="M346" s="129"/>
      <c r="N346" s="129">
        <f t="shared" si="85"/>
        <v>1</v>
      </c>
      <c r="O346" s="129">
        <f t="shared" si="95"/>
        <v>1</v>
      </c>
      <c r="P346" s="231">
        <f t="shared" si="86"/>
        <v>8</v>
      </c>
      <c r="Q346" s="233" cm="1">
        <f t="array" ref="Q346">SUMPRODUCT((H_tblBGTage=I346)*(H_tblBGMnt=E346)*H_tblBG%)</f>
        <v>1</v>
      </c>
      <c r="R346" s="231">
        <f t="shared" si="96"/>
        <v>8</v>
      </c>
      <c r="S346" s="237"/>
      <c r="T346" s="237"/>
      <c r="U346" s="236" cm="1">
        <f t="array" ref="U346">SUMPRODUCT((DEZ!M_Verweiszeile=$H346)*DEZ!M_ProdTag*(DEZ!M_Monat=$E346))</f>
        <v>0</v>
      </c>
      <c r="V346" s="236" cm="1">
        <f t="array" ref="V346">SUMPRODUCT((DEZ!M_Verweiszeile=$H346)*DEZ!M_ProdN1*(DEZ!M_Monat=$E346))</f>
        <v>0</v>
      </c>
      <c r="W346" s="236" cm="1">
        <f t="array" ref="W346">SUMPRODUCT((DEZ!M_Verweiszeile=$H346)*DEZ!M_ProdN2*(DEZ!M_Monat=$E346))</f>
        <v>0</v>
      </c>
      <c r="X346" s="236">
        <f t="shared" si="97"/>
        <v>0</v>
      </c>
      <c r="Y346" s="236">
        <f t="shared" si="87"/>
        <v>0</v>
      </c>
      <c r="Z346" s="236">
        <f t="shared" si="88"/>
        <v>0</v>
      </c>
      <c r="AA346" s="236">
        <f t="shared" si="98"/>
        <v>0</v>
      </c>
      <c r="AB346" s="236">
        <f t="shared" si="99"/>
        <v>0</v>
      </c>
      <c r="AC346" s="236">
        <f t="shared" si="100"/>
        <v>0</v>
      </c>
    </row>
    <row r="347" spans="3:29" s="189" customFormat="1" x14ac:dyDescent="0.2">
      <c r="C347" s="129">
        <v>338</v>
      </c>
      <c r="D347" s="190">
        <f t="shared" si="101"/>
        <v>45629</v>
      </c>
      <c r="E347" s="129">
        <f t="shared" si="89"/>
        <v>12</v>
      </c>
      <c r="F347" s="191">
        <f t="shared" si="90"/>
        <v>45629</v>
      </c>
      <c r="G347" s="129">
        <f t="shared" si="91"/>
        <v>49</v>
      </c>
      <c r="H347" s="129">
        <f t="shared" si="92"/>
        <v>3</v>
      </c>
      <c r="I347" s="129">
        <f t="shared" si="93"/>
        <v>2</v>
      </c>
      <c r="J347" s="192">
        <f t="shared" si="94"/>
        <v>45629</v>
      </c>
      <c r="K347" s="129" t="str" cm="1">
        <f t="array" ref="K347">IF(AND(I347&lt;7,INDEX(B_tblFTMatrix,$E347,$H347)="x"),"ft","")</f>
        <v/>
      </c>
      <c r="L347" s="129"/>
      <c r="M347" s="129"/>
      <c r="N347" s="129">
        <f t="shared" si="85"/>
        <v>1</v>
      </c>
      <c r="O347" s="129">
        <f t="shared" si="95"/>
        <v>1</v>
      </c>
      <c r="P347" s="231">
        <f t="shared" si="86"/>
        <v>8</v>
      </c>
      <c r="Q347" s="233" cm="1">
        <f t="array" ref="Q347">SUMPRODUCT((H_tblBGTage=I347)*(H_tblBGMnt=E347)*H_tblBG%)</f>
        <v>1</v>
      </c>
      <c r="R347" s="231">
        <f t="shared" si="96"/>
        <v>8</v>
      </c>
      <c r="S347" s="237"/>
      <c r="T347" s="237"/>
      <c r="U347" s="236" cm="1">
        <f t="array" ref="U347">SUMPRODUCT((DEZ!M_Verweiszeile=$H347)*DEZ!M_ProdTag*(DEZ!M_Monat=$E347))</f>
        <v>0</v>
      </c>
      <c r="V347" s="236" cm="1">
        <f t="array" ref="V347">SUMPRODUCT((DEZ!M_Verweiszeile=$H347)*DEZ!M_ProdN1*(DEZ!M_Monat=$E347))</f>
        <v>0</v>
      </c>
      <c r="W347" s="236" cm="1">
        <f t="array" ref="W347">SUMPRODUCT((DEZ!M_Verweiszeile=$H347)*DEZ!M_ProdN2*(DEZ!M_Monat=$E347))</f>
        <v>0</v>
      </c>
      <c r="X347" s="236">
        <f t="shared" si="97"/>
        <v>0</v>
      </c>
      <c r="Y347" s="236">
        <f t="shared" si="87"/>
        <v>0</v>
      </c>
      <c r="Z347" s="236">
        <f t="shared" si="88"/>
        <v>0</v>
      </c>
      <c r="AA347" s="236">
        <f t="shared" si="98"/>
        <v>0</v>
      </c>
      <c r="AB347" s="236">
        <f t="shared" si="99"/>
        <v>0</v>
      </c>
      <c r="AC347" s="236">
        <f t="shared" si="100"/>
        <v>0</v>
      </c>
    </row>
    <row r="348" spans="3:29" s="189" customFormat="1" x14ac:dyDescent="0.2">
      <c r="C348" s="129">
        <v>339</v>
      </c>
      <c r="D348" s="190">
        <f t="shared" si="101"/>
        <v>45630</v>
      </c>
      <c r="E348" s="129">
        <f t="shared" si="89"/>
        <v>12</v>
      </c>
      <c r="F348" s="191">
        <f t="shared" si="90"/>
        <v>45630</v>
      </c>
      <c r="G348" s="129">
        <f t="shared" si="91"/>
        <v>49</v>
      </c>
      <c r="H348" s="129">
        <f t="shared" si="92"/>
        <v>4</v>
      </c>
      <c r="I348" s="129">
        <f t="shared" si="93"/>
        <v>3</v>
      </c>
      <c r="J348" s="192">
        <f t="shared" si="94"/>
        <v>45630</v>
      </c>
      <c r="K348" s="129" t="str" cm="1">
        <f t="array" ref="K348">IF(AND(I348&lt;7,INDEX(B_tblFTMatrix,$E348,$H348)="x"),"ft","")</f>
        <v/>
      </c>
      <c r="L348" s="129"/>
      <c r="M348" s="129"/>
      <c r="N348" s="129">
        <f t="shared" si="85"/>
        <v>1</v>
      </c>
      <c r="O348" s="129">
        <f t="shared" si="95"/>
        <v>1</v>
      </c>
      <c r="P348" s="231">
        <f t="shared" si="86"/>
        <v>8</v>
      </c>
      <c r="Q348" s="233" cm="1">
        <f t="array" ref="Q348">SUMPRODUCT((H_tblBGTage=I348)*(H_tblBGMnt=E348)*H_tblBG%)</f>
        <v>1</v>
      </c>
      <c r="R348" s="231">
        <f t="shared" si="96"/>
        <v>8</v>
      </c>
      <c r="S348" s="237"/>
      <c r="T348" s="237"/>
      <c r="U348" s="236" cm="1">
        <f t="array" ref="U348">SUMPRODUCT((DEZ!M_Verweiszeile=$H348)*DEZ!M_ProdTag*(DEZ!M_Monat=$E348))</f>
        <v>0</v>
      </c>
      <c r="V348" s="236" cm="1">
        <f t="array" ref="V348">SUMPRODUCT((DEZ!M_Verweiszeile=$H348)*DEZ!M_ProdN1*(DEZ!M_Monat=$E348))</f>
        <v>0</v>
      </c>
      <c r="W348" s="236" cm="1">
        <f t="array" ref="W348">SUMPRODUCT((DEZ!M_Verweiszeile=$H348)*DEZ!M_ProdN2*(DEZ!M_Monat=$E348))</f>
        <v>0</v>
      </c>
      <c r="X348" s="236">
        <f t="shared" si="97"/>
        <v>0</v>
      </c>
      <c r="Y348" s="236">
        <f t="shared" si="87"/>
        <v>0</v>
      </c>
      <c r="Z348" s="236">
        <f t="shared" si="88"/>
        <v>0</v>
      </c>
      <c r="AA348" s="236">
        <f t="shared" si="98"/>
        <v>0</v>
      </c>
      <c r="AB348" s="236">
        <f t="shared" si="99"/>
        <v>0</v>
      </c>
      <c r="AC348" s="236">
        <f t="shared" si="100"/>
        <v>0</v>
      </c>
    </row>
    <row r="349" spans="3:29" s="189" customFormat="1" x14ac:dyDescent="0.2">
      <c r="C349" s="129">
        <v>340</v>
      </c>
      <c r="D349" s="190">
        <f t="shared" si="101"/>
        <v>45631</v>
      </c>
      <c r="E349" s="129">
        <f t="shared" si="89"/>
        <v>12</v>
      </c>
      <c r="F349" s="191">
        <f t="shared" si="90"/>
        <v>45631</v>
      </c>
      <c r="G349" s="129">
        <f t="shared" si="91"/>
        <v>49</v>
      </c>
      <c r="H349" s="129">
        <f t="shared" si="92"/>
        <v>5</v>
      </c>
      <c r="I349" s="129">
        <f t="shared" si="93"/>
        <v>4</v>
      </c>
      <c r="J349" s="192">
        <f t="shared" si="94"/>
        <v>45631</v>
      </c>
      <c r="K349" s="129" t="str" cm="1">
        <f t="array" ref="K349">IF(AND(I349&lt;7,INDEX(B_tblFTMatrix,$E349,$H349)="x"),"ft","")</f>
        <v/>
      </c>
      <c r="L349" s="129"/>
      <c r="M349" s="129"/>
      <c r="N349" s="129">
        <f t="shared" si="85"/>
        <v>1</v>
      </c>
      <c r="O349" s="129">
        <f t="shared" si="95"/>
        <v>1</v>
      </c>
      <c r="P349" s="231">
        <f t="shared" si="86"/>
        <v>8</v>
      </c>
      <c r="Q349" s="233" cm="1">
        <f t="array" ref="Q349">SUMPRODUCT((H_tblBGTage=I349)*(H_tblBGMnt=E349)*H_tblBG%)</f>
        <v>1</v>
      </c>
      <c r="R349" s="231">
        <f t="shared" si="96"/>
        <v>8</v>
      </c>
      <c r="S349" s="237"/>
      <c r="T349" s="237"/>
      <c r="U349" s="236" cm="1">
        <f t="array" ref="U349">SUMPRODUCT((DEZ!M_Verweiszeile=$H349)*DEZ!M_ProdTag*(DEZ!M_Monat=$E349))</f>
        <v>0</v>
      </c>
      <c r="V349" s="236" cm="1">
        <f t="array" ref="V349">SUMPRODUCT((DEZ!M_Verweiszeile=$H349)*DEZ!M_ProdN1*(DEZ!M_Monat=$E349))</f>
        <v>0</v>
      </c>
      <c r="W349" s="236" cm="1">
        <f t="array" ref="W349">SUMPRODUCT((DEZ!M_Verweiszeile=$H349)*DEZ!M_ProdN2*(DEZ!M_Monat=$E349))</f>
        <v>0</v>
      </c>
      <c r="X349" s="236">
        <f t="shared" si="97"/>
        <v>0</v>
      </c>
      <c r="Y349" s="236">
        <f t="shared" si="87"/>
        <v>0</v>
      </c>
      <c r="Z349" s="236">
        <f t="shared" si="88"/>
        <v>0</v>
      </c>
      <c r="AA349" s="236">
        <f t="shared" si="98"/>
        <v>0</v>
      </c>
      <c r="AB349" s="236">
        <f t="shared" si="99"/>
        <v>0</v>
      </c>
      <c r="AC349" s="236">
        <f t="shared" si="100"/>
        <v>0</v>
      </c>
    </row>
    <row r="350" spans="3:29" s="189" customFormat="1" x14ac:dyDescent="0.2">
      <c r="C350" s="129">
        <v>341</v>
      </c>
      <c r="D350" s="190">
        <f t="shared" si="101"/>
        <v>45632</v>
      </c>
      <c r="E350" s="129">
        <f t="shared" si="89"/>
        <v>12</v>
      </c>
      <c r="F350" s="191">
        <f t="shared" si="90"/>
        <v>45632</v>
      </c>
      <c r="G350" s="129">
        <f t="shared" si="91"/>
        <v>49</v>
      </c>
      <c r="H350" s="129">
        <f t="shared" si="92"/>
        <v>6</v>
      </c>
      <c r="I350" s="129">
        <f t="shared" si="93"/>
        <v>5</v>
      </c>
      <c r="J350" s="192">
        <f t="shared" si="94"/>
        <v>45632</v>
      </c>
      <c r="K350" s="129" t="str" cm="1">
        <f t="array" ref="K350">IF(AND(I350&lt;7,INDEX(B_tblFTMatrix,$E350,$H350)="x"),"ft","")</f>
        <v/>
      </c>
      <c r="L350" s="129"/>
      <c r="M350" s="129"/>
      <c r="N350" s="129">
        <f t="shared" si="85"/>
        <v>1</v>
      </c>
      <c r="O350" s="129">
        <f t="shared" si="95"/>
        <v>1</v>
      </c>
      <c r="P350" s="231">
        <f t="shared" si="86"/>
        <v>8</v>
      </c>
      <c r="Q350" s="233" cm="1">
        <f t="array" ref="Q350">SUMPRODUCT((H_tblBGTage=I350)*(H_tblBGMnt=E350)*H_tblBG%)</f>
        <v>1</v>
      </c>
      <c r="R350" s="231">
        <f t="shared" si="96"/>
        <v>8</v>
      </c>
      <c r="S350" s="237"/>
      <c r="T350" s="237"/>
      <c r="U350" s="236" cm="1">
        <f t="array" ref="U350">SUMPRODUCT((DEZ!M_Verweiszeile=$H350)*DEZ!M_ProdTag*(DEZ!M_Monat=$E350))</f>
        <v>0</v>
      </c>
      <c r="V350" s="236" cm="1">
        <f t="array" ref="V350">SUMPRODUCT((DEZ!M_Verweiszeile=$H350)*DEZ!M_ProdN1*(DEZ!M_Monat=$E350))</f>
        <v>0</v>
      </c>
      <c r="W350" s="236" cm="1">
        <f t="array" ref="W350">SUMPRODUCT((DEZ!M_Verweiszeile=$H350)*DEZ!M_ProdN2*(DEZ!M_Monat=$E350))</f>
        <v>0</v>
      </c>
      <c r="X350" s="236">
        <f t="shared" si="97"/>
        <v>0</v>
      </c>
      <c r="Y350" s="236">
        <f t="shared" si="87"/>
        <v>0</v>
      </c>
      <c r="Z350" s="236">
        <f t="shared" si="88"/>
        <v>0</v>
      </c>
      <c r="AA350" s="236">
        <f t="shared" si="98"/>
        <v>0</v>
      </c>
      <c r="AB350" s="236">
        <f t="shared" si="99"/>
        <v>0</v>
      </c>
      <c r="AC350" s="236">
        <f t="shared" si="100"/>
        <v>0</v>
      </c>
    </row>
    <row r="351" spans="3:29" s="189" customFormat="1" x14ac:dyDescent="0.2">
      <c r="C351" s="129">
        <v>342</v>
      </c>
      <c r="D351" s="190">
        <f t="shared" si="101"/>
        <v>45633</v>
      </c>
      <c r="E351" s="129">
        <f t="shared" si="89"/>
        <v>12</v>
      </c>
      <c r="F351" s="191">
        <f t="shared" si="90"/>
        <v>45633</v>
      </c>
      <c r="G351" s="129">
        <f t="shared" si="91"/>
        <v>49</v>
      </c>
      <c r="H351" s="129">
        <f t="shared" si="92"/>
        <v>7</v>
      </c>
      <c r="I351" s="129">
        <f t="shared" si="93"/>
        <v>6</v>
      </c>
      <c r="J351" s="192">
        <f t="shared" si="94"/>
        <v>45633</v>
      </c>
      <c r="K351" s="129" t="str" cm="1">
        <f t="array" ref="K351">IF(AND(I351&lt;7,INDEX(B_tblFTMatrix,$E351,$H351)="x"),"ft","")</f>
        <v/>
      </c>
      <c r="L351" s="129"/>
      <c r="M351" s="129"/>
      <c r="N351" s="129">
        <f t="shared" si="85"/>
        <v>0</v>
      </c>
      <c r="O351" s="129">
        <f t="shared" si="95"/>
        <v>0</v>
      </c>
      <c r="P351" s="231">
        <f t="shared" si="86"/>
        <v>0</v>
      </c>
      <c r="Q351" s="233" cm="1">
        <f t="array" ref="Q351">SUMPRODUCT((H_tblBGTage=I351)*(H_tblBGMnt=E351)*H_tblBG%)</f>
        <v>0</v>
      </c>
      <c r="R351" s="231">
        <f t="shared" si="96"/>
        <v>0</v>
      </c>
      <c r="S351" s="237"/>
      <c r="T351" s="237"/>
      <c r="U351" s="236" cm="1">
        <f t="array" ref="U351">SUMPRODUCT((DEZ!M_Verweiszeile=$H351)*DEZ!M_ProdTag*(DEZ!M_Monat=$E351))</f>
        <v>0</v>
      </c>
      <c r="V351" s="236" cm="1">
        <f t="array" ref="V351">SUMPRODUCT((DEZ!M_Verweiszeile=$H351)*DEZ!M_ProdN1*(DEZ!M_Monat=$E351))</f>
        <v>0</v>
      </c>
      <c r="W351" s="236" cm="1">
        <f t="array" ref="W351">SUMPRODUCT((DEZ!M_Verweiszeile=$H351)*DEZ!M_ProdN2*(DEZ!M_Monat=$E351))</f>
        <v>0</v>
      </c>
      <c r="X351" s="236">
        <f t="shared" si="97"/>
        <v>0</v>
      </c>
      <c r="Y351" s="236">
        <f t="shared" si="87"/>
        <v>0</v>
      </c>
      <c r="Z351" s="236">
        <f t="shared" si="88"/>
        <v>0</v>
      </c>
      <c r="AA351" s="236">
        <f t="shared" si="98"/>
        <v>0</v>
      </c>
      <c r="AB351" s="236">
        <f t="shared" si="99"/>
        <v>0</v>
      </c>
      <c r="AC351" s="236">
        <f t="shared" si="100"/>
        <v>0</v>
      </c>
    </row>
    <row r="352" spans="3:29" s="189" customFormat="1" x14ac:dyDescent="0.2">
      <c r="C352" s="129">
        <v>343</v>
      </c>
      <c r="D352" s="190">
        <f t="shared" si="101"/>
        <v>45634</v>
      </c>
      <c r="E352" s="129">
        <f t="shared" si="89"/>
        <v>12</v>
      </c>
      <c r="F352" s="191">
        <f t="shared" si="90"/>
        <v>45634</v>
      </c>
      <c r="G352" s="129">
        <f t="shared" si="91"/>
        <v>49</v>
      </c>
      <c r="H352" s="129">
        <f t="shared" si="92"/>
        <v>8</v>
      </c>
      <c r="I352" s="129">
        <f t="shared" si="93"/>
        <v>7</v>
      </c>
      <c r="J352" s="192">
        <f t="shared" si="94"/>
        <v>45634</v>
      </c>
      <c r="K352" s="129" t="str" cm="1">
        <f t="array" ref="K352">IF(AND(I352&lt;7,INDEX(B_tblFTMatrix,$E352,$H352)="x"),"ft","")</f>
        <v/>
      </c>
      <c r="L352" s="129"/>
      <c r="M352" s="129"/>
      <c r="N352" s="129">
        <f t="shared" si="85"/>
        <v>0</v>
      </c>
      <c r="O352" s="129">
        <f t="shared" si="95"/>
        <v>0</v>
      </c>
      <c r="P352" s="231">
        <f t="shared" si="86"/>
        <v>0</v>
      </c>
      <c r="Q352" s="233" cm="1">
        <f t="array" ref="Q352">SUMPRODUCT((H_tblBGTage=I352)*(H_tblBGMnt=E352)*H_tblBG%)</f>
        <v>0</v>
      </c>
      <c r="R352" s="231">
        <f t="shared" si="96"/>
        <v>0</v>
      </c>
      <c r="S352" s="237"/>
      <c r="T352" s="237"/>
      <c r="U352" s="236" cm="1">
        <f t="array" ref="U352">SUMPRODUCT((DEZ!M_Verweiszeile=$H352)*DEZ!M_ProdTag*(DEZ!M_Monat=$E352))</f>
        <v>0</v>
      </c>
      <c r="V352" s="236" cm="1">
        <f t="array" ref="V352">SUMPRODUCT((DEZ!M_Verweiszeile=$H352)*DEZ!M_ProdN1*(DEZ!M_Monat=$E352))</f>
        <v>0</v>
      </c>
      <c r="W352" s="236" cm="1">
        <f t="array" ref="W352">SUMPRODUCT((DEZ!M_Verweiszeile=$H352)*DEZ!M_ProdN2*(DEZ!M_Monat=$E352))</f>
        <v>0</v>
      </c>
      <c r="X352" s="236">
        <f t="shared" si="97"/>
        <v>0</v>
      </c>
      <c r="Y352" s="236">
        <f t="shared" si="87"/>
        <v>0</v>
      </c>
      <c r="Z352" s="236">
        <f t="shared" si="88"/>
        <v>0</v>
      </c>
      <c r="AA352" s="236">
        <f t="shared" si="98"/>
        <v>0</v>
      </c>
      <c r="AB352" s="236">
        <f t="shared" si="99"/>
        <v>0</v>
      </c>
      <c r="AC352" s="236">
        <f t="shared" si="100"/>
        <v>0</v>
      </c>
    </row>
    <row r="353" spans="3:29" s="189" customFormat="1" x14ac:dyDescent="0.2">
      <c r="C353" s="129">
        <v>344</v>
      </c>
      <c r="D353" s="190">
        <f t="shared" si="101"/>
        <v>45635</v>
      </c>
      <c r="E353" s="129">
        <f t="shared" si="89"/>
        <v>12</v>
      </c>
      <c r="F353" s="191">
        <f t="shared" si="90"/>
        <v>45635</v>
      </c>
      <c r="G353" s="129">
        <f t="shared" si="91"/>
        <v>50</v>
      </c>
      <c r="H353" s="129">
        <f t="shared" si="92"/>
        <v>9</v>
      </c>
      <c r="I353" s="129">
        <f t="shared" si="93"/>
        <v>1</v>
      </c>
      <c r="J353" s="192">
        <f t="shared" si="94"/>
        <v>45635</v>
      </c>
      <c r="K353" s="129" t="str" cm="1">
        <f t="array" ref="K353">IF(AND(I353&lt;7,INDEX(B_tblFTMatrix,$E353,$H353)="x"),"ft","")</f>
        <v/>
      </c>
      <c r="L353" s="129"/>
      <c r="M353" s="129"/>
      <c r="N353" s="129">
        <f t="shared" si="85"/>
        <v>1</v>
      </c>
      <c r="O353" s="129">
        <f t="shared" si="95"/>
        <v>1</v>
      </c>
      <c r="P353" s="231">
        <f t="shared" si="86"/>
        <v>8</v>
      </c>
      <c r="Q353" s="233" cm="1">
        <f t="array" ref="Q353">SUMPRODUCT((H_tblBGTage=I353)*(H_tblBGMnt=E353)*H_tblBG%)</f>
        <v>1</v>
      </c>
      <c r="R353" s="231">
        <f t="shared" si="96"/>
        <v>8</v>
      </c>
      <c r="S353" s="237"/>
      <c r="T353" s="237"/>
      <c r="U353" s="236" cm="1">
        <f t="array" ref="U353">SUMPRODUCT((DEZ!M_Verweiszeile=$H353)*DEZ!M_ProdTag*(DEZ!M_Monat=$E353))</f>
        <v>0</v>
      </c>
      <c r="V353" s="236" cm="1">
        <f t="array" ref="V353">SUMPRODUCT((DEZ!M_Verweiszeile=$H353)*DEZ!M_ProdN1*(DEZ!M_Monat=$E353))</f>
        <v>0</v>
      </c>
      <c r="W353" s="236" cm="1">
        <f t="array" ref="W353">SUMPRODUCT((DEZ!M_Verweiszeile=$H353)*DEZ!M_ProdN2*(DEZ!M_Monat=$E353))</f>
        <v>0</v>
      </c>
      <c r="X353" s="236">
        <f t="shared" si="97"/>
        <v>0</v>
      </c>
      <c r="Y353" s="236">
        <f t="shared" si="87"/>
        <v>0</v>
      </c>
      <c r="Z353" s="236">
        <f t="shared" si="88"/>
        <v>0</v>
      </c>
      <c r="AA353" s="236">
        <f t="shared" si="98"/>
        <v>0</v>
      </c>
      <c r="AB353" s="236">
        <f t="shared" si="99"/>
        <v>0</v>
      </c>
      <c r="AC353" s="236">
        <f t="shared" si="100"/>
        <v>0</v>
      </c>
    </row>
    <row r="354" spans="3:29" s="189" customFormat="1" x14ac:dyDescent="0.2">
      <c r="C354" s="129">
        <v>345</v>
      </c>
      <c r="D354" s="190">
        <f t="shared" si="101"/>
        <v>45636</v>
      </c>
      <c r="E354" s="129">
        <f t="shared" si="89"/>
        <v>12</v>
      </c>
      <c r="F354" s="191">
        <f t="shared" si="90"/>
        <v>45636</v>
      </c>
      <c r="G354" s="129">
        <f t="shared" si="91"/>
        <v>50</v>
      </c>
      <c r="H354" s="129">
        <f t="shared" si="92"/>
        <v>10</v>
      </c>
      <c r="I354" s="129">
        <f t="shared" si="93"/>
        <v>2</v>
      </c>
      <c r="J354" s="192">
        <f t="shared" si="94"/>
        <v>45636</v>
      </c>
      <c r="K354" s="129" t="str" cm="1">
        <f t="array" ref="K354">IF(AND(I354&lt;7,INDEX(B_tblFTMatrix,$E354,$H354)="x"),"ft","")</f>
        <v/>
      </c>
      <c r="L354" s="129"/>
      <c r="M354" s="129"/>
      <c r="N354" s="129">
        <f t="shared" si="85"/>
        <v>1</v>
      </c>
      <c r="O354" s="129">
        <f t="shared" si="95"/>
        <v>1</v>
      </c>
      <c r="P354" s="231">
        <f t="shared" si="86"/>
        <v>8</v>
      </c>
      <c r="Q354" s="233" cm="1">
        <f t="array" ref="Q354">SUMPRODUCT((H_tblBGTage=I354)*(H_tblBGMnt=E354)*H_tblBG%)</f>
        <v>1</v>
      </c>
      <c r="R354" s="231">
        <f t="shared" si="96"/>
        <v>8</v>
      </c>
      <c r="S354" s="237"/>
      <c r="T354" s="237"/>
      <c r="U354" s="236" cm="1">
        <f t="array" ref="U354">SUMPRODUCT((DEZ!M_Verweiszeile=$H354)*DEZ!M_ProdTag*(DEZ!M_Monat=$E354))</f>
        <v>0</v>
      </c>
      <c r="V354" s="236" cm="1">
        <f t="array" ref="V354">SUMPRODUCT((DEZ!M_Verweiszeile=$H354)*DEZ!M_ProdN1*(DEZ!M_Monat=$E354))</f>
        <v>0</v>
      </c>
      <c r="W354" s="236" cm="1">
        <f t="array" ref="W354">SUMPRODUCT((DEZ!M_Verweiszeile=$H354)*DEZ!M_ProdN2*(DEZ!M_Monat=$E354))</f>
        <v>0</v>
      </c>
      <c r="X354" s="236">
        <f t="shared" si="97"/>
        <v>0</v>
      </c>
      <c r="Y354" s="236">
        <f t="shared" si="87"/>
        <v>0</v>
      </c>
      <c r="Z354" s="236">
        <f t="shared" si="88"/>
        <v>0</v>
      </c>
      <c r="AA354" s="236">
        <f t="shared" si="98"/>
        <v>0</v>
      </c>
      <c r="AB354" s="236">
        <f t="shared" si="99"/>
        <v>0</v>
      </c>
      <c r="AC354" s="236">
        <f t="shared" si="100"/>
        <v>0</v>
      </c>
    </row>
    <row r="355" spans="3:29" s="189" customFormat="1" x14ac:dyDescent="0.2">
      <c r="C355" s="129">
        <v>346</v>
      </c>
      <c r="D355" s="190">
        <f t="shared" si="101"/>
        <v>45637</v>
      </c>
      <c r="E355" s="129">
        <f t="shared" si="89"/>
        <v>12</v>
      </c>
      <c r="F355" s="191">
        <f t="shared" si="90"/>
        <v>45637</v>
      </c>
      <c r="G355" s="129">
        <f t="shared" si="91"/>
        <v>50</v>
      </c>
      <c r="H355" s="129">
        <f t="shared" si="92"/>
        <v>11</v>
      </c>
      <c r="I355" s="129">
        <f t="shared" si="93"/>
        <v>3</v>
      </c>
      <c r="J355" s="192">
        <f t="shared" si="94"/>
        <v>45637</v>
      </c>
      <c r="K355" s="129" t="str" cm="1">
        <f t="array" ref="K355">IF(AND(I355&lt;7,INDEX(B_tblFTMatrix,$E355,$H355)="x"),"ft","")</f>
        <v/>
      </c>
      <c r="L355" s="129"/>
      <c r="M355" s="129"/>
      <c r="N355" s="129">
        <f t="shared" si="85"/>
        <v>1</v>
      </c>
      <c r="O355" s="129">
        <f t="shared" si="95"/>
        <v>1</v>
      </c>
      <c r="P355" s="231">
        <f t="shared" si="86"/>
        <v>8</v>
      </c>
      <c r="Q355" s="233" cm="1">
        <f t="array" ref="Q355">SUMPRODUCT((H_tblBGTage=I355)*(H_tblBGMnt=E355)*H_tblBG%)</f>
        <v>1</v>
      </c>
      <c r="R355" s="231">
        <f t="shared" si="96"/>
        <v>8</v>
      </c>
      <c r="S355" s="237"/>
      <c r="T355" s="237"/>
      <c r="U355" s="236" cm="1">
        <f t="array" ref="U355">SUMPRODUCT((DEZ!M_Verweiszeile=$H355)*DEZ!M_ProdTag*(DEZ!M_Monat=$E355))</f>
        <v>0</v>
      </c>
      <c r="V355" s="236" cm="1">
        <f t="array" ref="V355">SUMPRODUCT((DEZ!M_Verweiszeile=$H355)*DEZ!M_ProdN1*(DEZ!M_Monat=$E355))</f>
        <v>0</v>
      </c>
      <c r="W355" s="236" cm="1">
        <f t="array" ref="W355">SUMPRODUCT((DEZ!M_Verweiszeile=$H355)*DEZ!M_ProdN2*(DEZ!M_Monat=$E355))</f>
        <v>0</v>
      </c>
      <c r="X355" s="236">
        <f t="shared" si="97"/>
        <v>0</v>
      </c>
      <c r="Y355" s="236">
        <f t="shared" si="87"/>
        <v>0</v>
      </c>
      <c r="Z355" s="236">
        <f t="shared" si="88"/>
        <v>0</v>
      </c>
      <c r="AA355" s="236">
        <f t="shared" si="98"/>
        <v>0</v>
      </c>
      <c r="AB355" s="236">
        <f t="shared" si="99"/>
        <v>0</v>
      </c>
      <c r="AC355" s="236">
        <f t="shared" si="100"/>
        <v>0</v>
      </c>
    </row>
    <row r="356" spans="3:29" s="189" customFormat="1" x14ac:dyDescent="0.2">
      <c r="C356" s="129">
        <v>347</v>
      </c>
      <c r="D356" s="190">
        <f t="shared" si="101"/>
        <v>45638</v>
      </c>
      <c r="E356" s="129">
        <f t="shared" si="89"/>
        <v>12</v>
      </c>
      <c r="F356" s="191">
        <f t="shared" si="90"/>
        <v>45638</v>
      </c>
      <c r="G356" s="129">
        <f t="shared" si="91"/>
        <v>50</v>
      </c>
      <c r="H356" s="129">
        <f t="shared" si="92"/>
        <v>12</v>
      </c>
      <c r="I356" s="129">
        <f t="shared" si="93"/>
        <v>4</v>
      </c>
      <c r="J356" s="192">
        <f t="shared" si="94"/>
        <v>45638</v>
      </c>
      <c r="K356" s="129" t="str" cm="1">
        <f t="array" ref="K356">IF(AND(I356&lt;7,INDEX(B_tblFTMatrix,$E356,$H356)="x"),"ft","")</f>
        <v/>
      </c>
      <c r="L356" s="129"/>
      <c r="M356" s="129"/>
      <c r="N356" s="129">
        <f t="shared" si="85"/>
        <v>1</v>
      </c>
      <c r="O356" s="129">
        <f t="shared" si="95"/>
        <v>1</v>
      </c>
      <c r="P356" s="231">
        <f t="shared" si="86"/>
        <v>8</v>
      </c>
      <c r="Q356" s="233" cm="1">
        <f t="array" ref="Q356">SUMPRODUCT((H_tblBGTage=I356)*(H_tblBGMnt=E356)*H_tblBG%)</f>
        <v>1</v>
      </c>
      <c r="R356" s="231">
        <f t="shared" si="96"/>
        <v>8</v>
      </c>
      <c r="S356" s="237"/>
      <c r="T356" s="237"/>
      <c r="U356" s="236" cm="1">
        <f t="array" ref="U356">SUMPRODUCT((DEZ!M_Verweiszeile=$H356)*DEZ!M_ProdTag*(DEZ!M_Monat=$E356))</f>
        <v>0</v>
      </c>
      <c r="V356" s="236" cm="1">
        <f t="array" ref="V356">SUMPRODUCT((DEZ!M_Verweiszeile=$H356)*DEZ!M_ProdN1*(DEZ!M_Monat=$E356))</f>
        <v>0</v>
      </c>
      <c r="W356" s="236" cm="1">
        <f t="array" ref="W356">SUMPRODUCT((DEZ!M_Verweiszeile=$H356)*DEZ!M_ProdN2*(DEZ!M_Monat=$E356))</f>
        <v>0</v>
      </c>
      <c r="X356" s="236">
        <f t="shared" si="97"/>
        <v>0</v>
      </c>
      <c r="Y356" s="236">
        <f t="shared" si="87"/>
        <v>0</v>
      </c>
      <c r="Z356" s="236">
        <f t="shared" si="88"/>
        <v>0</v>
      </c>
      <c r="AA356" s="236">
        <f t="shared" si="98"/>
        <v>0</v>
      </c>
      <c r="AB356" s="236">
        <f t="shared" si="99"/>
        <v>0</v>
      </c>
      <c r="AC356" s="236">
        <f t="shared" si="100"/>
        <v>0</v>
      </c>
    </row>
    <row r="357" spans="3:29" s="189" customFormat="1" x14ac:dyDescent="0.2">
      <c r="C357" s="129">
        <v>348</v>
      </c>
      <c r="D357" s="190">
        <f t="shared" si="101"/>
        <v>45639</v>
      </c>
      <c r="E357" s="129">
        <f t="shared" si="89"/>
        <v>12</v>
      </c>
      <c r="F357" s="191">
        <f t="shared" si="90"/>
        <v>45639</v>
      </c>
      <c r="G357" s="129">
        <f t="shared" si="91"/>
        <v>50</v>
      </c>
      <c r="H357" s="129">
        <f t="shared" si="92"/>
        <v>13</v>
      </c>
      <c r="I357" s="129">
        <f t="shared" si="93"/>
        <v>5</v>
      </c>
      <c r="J357" s="192">
        <f t="shared" si="94"/>
        <v>45639</v>
      </c>
      <c r="K357" s="129" t="str" cm="1">
        <f t="array" ref="K357">IF(AND(I357&lt;7,INDEX(B_tblFTMatrix,$E357,$H357)="x"),"ft","")</f>
        <v/>
      </c>
      <c r="L357" s="129"/>
      <c r="M357" s="129"/>
      <c r="N357" s="129">
        <f t="shared" si="85"/>
        <v>1</v>
      </c>
      <c r="O357" s="129">
        <f t="shared" si="95"/>
        <v>1</v>
      </c>
      <c r="P357" s="231">
        <f t="shared" si="86"/>
        <v>8</v>
      </c>
      <c r="Q357" s="233" cm="1">
        <f t="array" ref="Q357">SUMPRODUCT((H_tblBGTage=I357)*(H_tblBGMnt=E357)*H_tblBG%)</f>
        <v>1</v>
      </c>
      <c r="R357" s="231">
        <f t="shared" si="96"/>
        <v>8</v>
      </c>
      <c r="S357" s="237"/>
      <c r="T357" s="237"/>
      <c r="U357" s="236" cm="1">
        <f t="array" ref="U357">SUMPRODUCT((DEZ!M_Verweiszeile=$H357)*DEZ!M_ProdTag*(DEZ!M_Monat=$E357))</f>
        <v>0</v>
      </c>
      <c r="V357" s="236" cm="1">
        <f t="array" ref="V357">SUMPRODUCT((DEZ!M_Verweiszeile=$H357)*DEZ!M_ProdN1*(DEZ!M_Monat=$E357))</f>
        <v>0</v>
      </c>
      <c r="W357" s="236" cm="1">
        <f t="array" ref="W357">SUMPRODUCT((DEZ!M_Verweiszeile=$H357)*DEZ!M_ProdN2*(DEZ!M_Monat=$E357))</f>
        <v>0</v>
      </c>
      <c r="X357" s="236">
        <f t="shared" si="97"/>
        <v>0</v>
      </c>
      <c r="Y357" s="236">
        <f t="shared" si="87"/>
        <v>0</v>
      </c>
      <c r="Z357" s="236">
        <f t="shared" si="88"/>
        <v>0</v>
      </c>
      <c r="AA357" s="236">
        <f t="shared" si="98"/>
        <v>0</v>
      </c>
      <c r="AB357" s="236">
        <f t="shared" si="99"/>
        <v>0</v>
      </c>
      <c r="AC357" s="236">
        <f t="shared" si="100"/>
        <v>0</v>
      </c>
    </row>
    <row r="358" spans="3:29" s="189" customFormat="1" x14ac:dyDescent="0.2">
      <c r="C358" s="129">
        <v>349</v>
      </c>
      <c r="D358" s="190">
        <f t="shared" si="101"/>
        <v>45640</v>
      </c>
      <c r="E358" s="129">
        <f t="shared" si="89"/>
        <v>12</v>
      </c>
      <c r="F358" s="191">
        <f t="shared" si="90"/>
        <v>45640</v>
      </c>
      <c r="G358" s="129">
        <f t="shared" si="91"/>
        <v>50</v>
      </c>
      <c r="H358" s="129">
        <f t="shared" si="92"/>
        <v>14</v>
      </c>
      <c r="I358" s="129">
        <f t="shared" si="93"/>
        <v>6</v>
      </c>
      <c r="J358" s="192">
        <f t="shared" si="94"/>
        <v>45640</v>
      </c>
      <c r="K358" s="129" t="str" cm="1">
        <f t="array" ref="K358">IF(AND(I358&lt;7,INDEX(B_tblFTMatrix,$E358,$H358)="x"),"ft","")</f>
        <v/>
      </c>
      <c r="L358" s="129"/>
      <c r="M358" s="129"/>
      <c r="N358" s="129">
        <f t="shared" si="85"/>
        <v>0</v>
      </c>
      <c r="O358" s="129">
        <f t="shared" si="95"/>
        <v>0</v>
      </c>
      <c r="P358" s="231">
        <f t="shared" si="86"/>
        <v>0</v>
      </c>
      <c r="Q358" s="233" cm="1">
        <f t="array" ref="Q358">SUMPRODUCT((H_tblBGTage=I358)*(H_tblBGMnt=E358)*H_tblBG%)</f>
        <v>0</v>
      </c>
      <c r="R358" s="231">
        <f t="shared" si="96"/>
        <v>0</v>
      </c>
      <c r="S358" s="237"/>
      <c r="T358" s="237"/>
      <c r="U358" s="236" cm="1">
        <f t="array" ref="U358">SUMPRODUCT((DEZ!M_Verweiszeile=$H358)*DEZ!M_ProdTag*(DEZ!M_Monat=$E358))</f>
        <v>0</v>
      </c>
      <c r="V358" s="236" cm="1">
        <f t="array" ref="V358">SUMPRODUCT((DEZ!M_Verweiszeile=$H358)*DEZ!M_ProdN1*(DEZ!M_Monat=$E358))</f>
        <v>0</v>
      </c>
      <c r="W358" s="236" cm="1">
        <f t="array" ref="W358">SUMPRODUCT((DEZ!M_Verweiszeile=$H358)*DEZ!M_ProdN2*(DEZ!M_Monat=$E358))</f>
        <v>0</v>
      </c>
      <c r="X358" s="236">
        <f t="shared" si="97"/>
        <v>0</v>
      </c>
      <c r="Y358" s="236">
        <f t="shared" si="87"/>
        <v>0</v>
      </c>
      <c r="Z358" s="236">
        <f t="shared" si="88"/>
        <v>0</v>
      </c>
      <c r="AA358" s="236">
        <f t="shared" si="98"/>
        <v>0</v>
      </c>
      <c r="AB358" s="236">
        <f t="shared" si="99"/>
        <v>0</v>
      </c>
      <c r="AC358" s="236">
        <f t="shared" si="100"/>
        <v>0</v>
      </c>
    </row>
    <row r="359" spans="3:29" s="189" customFormat="1" x14ac:dyDescent="0.2">
      <c r="C359" s="129">
        <v>350</v>
      </c>
      <c r="D359" s="190">
        <f t="shared" si="101"/>
        <v>45641</v>
      </c>
      <c r="E359" s="129">
        <f t="shared" si="89"/>
        <v>12</v>
      </c>
      <c r="F359" s="191">
        <f t="shared" si="90"/>
        <v>45641</v>
      </c>
      <c r="G359" s="129">
        <f t="shared" si="91"/>
        <v>50</v>
      </c>
      <c r="H359" s="129">
        <f t="shared" si="92"/>
        <v>15</v>
      </c>
      <c r="I359" s="129">
        <f t="shared" si="93"/>
        <v>7</v>
      </c>
      <c r="J359" s="192">
        <f t="shared" si="94"/>
        <v>45641</v>
      </c>
      <c r="K359" s="129" t="str" cm="1">
        <f t="array" ref="K359">IF(AND(I359&lt;7,INDEX(B_tblFTMatrix,$E359,$H359)="x"),"ft","")</f>
        <v/>
      </c>
      <c r="L359" s="129"/>
      <c r="M359" s="129"/>
      <c r="N359" s="129">
        <f t="shared" si="85"/>
        <v>0</v>
      </c>
      <c r="O359" s="129">
        <f t="shared" si="95"/>
        <v>0</v>
      </c>
      <c r="P359" s="231">
        <f t="shared" si="86"/>
        <v>0</v>
      </c>
      <c r="Q359" s="233" cm="1">
        <f t="array" ref="Q359">SUMPRODUCT((H_tblBGTage=I359)*(H_tblBGMnt=E359)*H_tblBG%)</f>
        <v>0</v>
      </c>
      <c r="R359" s="231">
        <f t="shared" si="96"/>
        <v>0</v>
      </c>
      <c r="S359" s="237"/>
      <c r="T359" s="237"/>
      <c r="U359" s="236" cm="1">
        <f t="array" ref="U359">SUMPRODUCT((DEZ!M_Verweiszeile=$H359)*DEZ!M_ProdTag*(DEZ!M_Monat=$E359))</f>
        <v>0</v>
      </c>
      <c r="V359" s="236" cm="1">
        <f t="array" ref="V359">SUMPRODUCT((DEZ!M_Verweiszeile=$H359)*DEZ!M_ProdN1*(DEZ!M_Monat=$E359))</f>
        <v>0</v>
      </c>
      <c r="W359" s="236" cm="1">
        <f t="array" ref="W359">SUMPRODUCT((DEZ!M_Verweiszeile=$H359)*DEZ!M_ProdN2*(DEZ!M_Monat=$E359))</f>
        <v>0</v>
      </c>
      <c r="X359" s="236">
        <f t="shared" si="97"/>
        <v>0</v>
      </c>
      <c r="Y359" s="236">
        <f t="shared" si="87"/>
        <v>0</v>
      </c>
      <c r="Z359" s="236">
        <f t="shared" si="88"/>
        <v>0</v>
      </c>
      <c r="AA359" s="236">
        <f t="shared" si="98"/>
        <v>0</v>
      </c>
      <c r="AB359" s="236">
        <f t="shared" si="99"/>
        <v>0</v>
      </c>
      <c r="AC359" s="236">
        <f t="shared" si="100"/>
        <v>0</v>
      </c>
    </row>
    <row r="360" spans="3:29" s="189" customFormat="1" x14ac:dyDescent="0.2">
      <c r="C360" s="129">
        <v>351</v>
      </c>
      <c r="D360" s="190">
        <f t="shared" si="101"/>
        <v>45642</v>
      </c>
      <c r="E360" s="129">
        <f t="shared" si="89"/>
        <v>12</v>
      </c>
      <c r="F360" s="191">
        <f t="shared" si="90"/>
        <v>45642</v>
      </c>
      <c r="G360" s="129">
        <f t="shared" si="91"/>
        <v>51</v>
      </c>
      <c r="H360" s="129">
        <f t="shared" si="92"/>
        <v>16</v>
      </c>
      <c r="I360" s="129">
        <f t="shared" si="93"/>
        <v>1</v>
      </c>
      <c r="J360" s="192">
        <f t="shared" si="94"/>
        <v>45642</v>
      </c>
      <c r="K360" s="129" t="str" cm="1">
        <f t="array" ref="K360">IF(AND(I360&lt;7,INDEX(B_tblFTMatrix,$E360,$H360)="x"),"ft","")</f>
        <v/>
      </c>
      <c r="L360" s="129"/>
      <c r="M360" s="129"/>
      <c r="N360" s="129">
        <f t="shared" si="85"/>
        <v>1</v>
      </c>
      <c r="O360" s="129">
        <f t="shared" si="95"/>
        <v>1</v>
      </c>
      <c r="P360" s="231">
        <f t="shared" si="86"/>
        <v>8</v>
      </c>
      <c r="Q360" s="233" cm="1">
        <f t="array" ref="Q360">SUMPRODUCT((H_tblBGTage=I360)*(H_tblBGMnt=E360)*H_tblBG%)</f>
        <v>1</v>
      </c>
      <c r="R360" s="231">
        <f t="shared" si="96"/>
        <v>8</v>
      </c>
      <c r="S360" s="237"/>
      <c r="T360" s="237"/>
      <c r="U360" s="236" cm="1">
        <f t="array" ref="U360">SUMPRODUCT((DEZ!M_Verweiszeile=$H360)*DEZ!M_ProdTag*(DEZ!M_Monat=$E360))</f>
        <v>0</v>
      </c>
      <c r="V360" s="236" cm="1">
        <f t="array" ref="V360">SUMPRODUCT((DEZ!M_Verweiszeile=$H360)*DEZ!M_ProdN1*(DEZ!M_Monat=$E360))</f>
        <v>0</v>
      </c>
      <c r="W360" s="236" cm="1">
        <f t="array" ref="W360">SUMPRODUCT((DEZ!M_Verweiszeile=$H360)*DEZ!M_ProdN2*(DEZ!M_Monat=$E360))</f>
        <v>0</v>
      </c>
      <c r="X360" s="236">
        <f t="shared" si="97"/>
        <v>0</v>
      </c>
      <c r="Y360" s="236">
        <f t="shared" si="87"/>
        <v>0</v>
      </c>
      <c r="Z360" s="236">
        <f t="shared" si="88"/>
        <v>0</v>
      </c>
      <c r="AA360" s="236">
        <f t="shared" si="98"/>
        <v>0</v>
      </c>
      <c r="AB360" s="236">
        <f t="shared" si="99"/>
        <v>0</v>
      </c>
      <c r="AC360" s="236">
        <f t="shared" si="100"/>
        <v>0</v>
      </c>
    </row>
    <row r="361" spans="3:29" s="189" customFormat="1" x14ac:dyDescent="0.2">
      <c r="C361" s="129">
        <v>352</v>
      </c>
      <c r="D361" s="190">
        <f t="shared" si="101"/>
        <v>45643</v>
      </c>
      <c r="E361" s="129">
        <f t="shared" si="89"/>
        <v>12</v>
      </c>
      <c r="F361" s="191">
        <f t="shared" si="90"/>
        <v>45643</v>
      </c>
      <c r="G361" s="129">
        <f t="shared" si="91"/>
        <v>51</v>
      </c>
      <c r="H361" s="129">
        <f t="shared" si="92"/>
        <v>17</v>
      </c>
      <c r="I361" s="129">
        <f t="shared" si="93"/>
        <v>2</v>
      </c>
      <c r="J361" s="192">
        <f t="shared" si="94"/>
        <v>45643</v>
      </c>
      <c r="K361" s="129" t="str" cm="1">
        <f t="array" ref="K361">IF(AND(I361&lt;7,INDEX(B_tblFTMatrix,$E361,$H361)="x"),"ft","")</f>
        <v/>
      </c>
      <c r="L361" s="129"/>
      <c r="M361" s="129"/>
      <c r="N361" s="129">
        <f t="shared" si="85"/>
        <v>1</v>
      </c>
      <c r="O361" s="129">
        <f t="shared" si="95"/>
        <v>1</v>
      </c>
      <c r="P361" s="231">
        <f t="shared" si="86"/>
        <v>8</v>
      </c>
      <c r="Q361" s="233" cm="1">
        <f t="array" ref="Q361">SUMPRODUCT((H_tblBGTage=I361)*(H_tblBGMnt=E361)*H_tblBG%)</f>
        <v>1</v>
      </c>
      <c r="R361" s="231">
        <f t="shared" si="96"/>
        <v>8</v>
      </c>
      <c r="S361" s="237"/>
      <c r="T361" s="237"/>
      <c r="U361" s="236" cm="1">
        <f t="array" ref="U361">SUMPRODUCT((DEZ!M_Verweiszeile=$H361)*DEZ!M_ProdTag*(DEZ!M_Monat=$E361))</f>
        <v>0</v>
      </c>
      <c r="V361" s="236" cm="1">
        <f t="array" ref="V361">SUMPRODUCT((DEZ!M_Verweiszeile=$H361)*DEZ!M_ProdN1*(DEZ!M_Monat=$E361))</f>
        <v>0</v>
      </c>
      <c r="W361" s="236" cm="1">
        <f t="array" ref="W361">SUMPRODUCT((DEZ!M_Verweiszeile=$H361)*DEZ!M_ProdN2*(DEZ!M_Monat=$E361))</f>
        <v>0</v>
      </c>
      <c r="X361" s="236">
        <f t="shared" si="97"/>
        <v>0</v>
      </c>
      <c r="Y361" s="236">
        <f t="shared" si="87"/>
        <v>0</v>
      </c>
      <c r="Z361" s="236">
        <f t="shared" si="88"/>
        <v>0</v>
      </c>
      <c r="AA361" s="236">
        <f t="shared" si="98"/>
        <v>0</v>
      </c>
      <c r="AB361" s="236">
        <f t="shared" si="99"/>
        <v>0</v>
      </c>
      <c r="AC361" s="236">
        <f t="shared" si="100"/>
        <v>0</v>
      </c>
    </row>
    <row r="362" spans="3:29" s="189" customFormat="1" x14ac:dyDescent="0.2">
      <c r="C362" s="129">
        <v>353</v>
      </c>
      <c r="D362" s="190">
        <f t="shared" si="101"/>
        <v>45644</v>
      </c>
      <c r="E362" s="129">
        <f t="shared" si="89"/>
        <v>12</v>
      </c>
      <c r="F362" s="191">
        <f t="shared" si="90"/>
        <v>45644</v>
      </c>
      <c r="G362" s="129">
        <f t="shared" si="91"/>
        <v>51</v>
      </c>
      <c r="H362" s="129">
        <f t="shared" si="92"/>
        <v>18</v>
      </c>
      <c r="I362" s="129">
        <f t="shared" si="93"/>
        <v>3</v>
      </c>
      <c r="J362" s="192">
        <f t="shared" si="94"/>
        <v>45644</v>
      </c>
      <c r="K362" s="129" t="str" cm="1">
        <f t="array" ref="K362">IF(AND(I362&lt;7,INDEX(B_tblFTMatrix,$E362,$H362)="x"),"ft","")</f>
        <v/>
      </c>
      <c r="L362" s="129"/>
      <c r="M362" s="129"/>
      <c r="N362" s="129">
        <f t="shared" si="85"/>
        <v>1</v>
      </c>
      <c r="O362" s="129">
        <f t="shared" si="95"/>
        <v>1</v>
      </c>
      <c r="P362" s="231">
        <f t="shared" si="86"/>
        <v>8</v>
      </c>
      <c r="Q362" s="233" cm="1">
        <f t="array" ref="Q362">SUMPRODUCT((H_tblBGTage=I362)*(H_tblBGMnt=E362)*H_tblBG%)</f>
        <v>1</v>
      </c>
      <c r="R362" s="231">
        <f t="shared" si="96"/>
        <v>8</v>
      </c>
      <c r="S362" s="237"/>
      <c r="T362" s="237"/>
      <c r="U362" s="236" cm="1">
        <f t="array" ref="U362">SUMPRODUCT((DEZ!M_Verweiszeile=$H362)*DEZ!M_ProdTag*(DEZ!M_Monat=$E362))</f>
        <v>0</v>
      </c>
      <c r="V362" s="236" cm="1">
        <f t="array" ref="V362">SUMPRODUCT((DEZ!M_Verweiszeile=$H362)*DEZ!M_ProdN1*(DEZ!M_Monat=$E362))</f>
        <v>0</v>
      </c>
      <c r="W362" s="236" cm="1">
        <f t="array" ref="W362">SUMPRODUCT((DEZ!M_Verweiszeile=$H362)*DEZ!M_ProdN2*(DEZ!M_Monat=$E362))</f>
        <v>0</v>
      </c>
      <c r="X362" s="236">
        <f t="shared" si="97"/>
        <v>0</v>
      </c>
      <c r="Y362" s="236">
        <f t="shared" si="87"/>
        <v>0</v>
      </c>
      <c r="Z362" s="236">
        <f t="shared" si="88"/>
        <v>0</v>
      </c>
      <c r="AA362" s="236">
        <f t="shared" si="98"/>
        <v>0</v>
      </c>
      <c r="AB362" s="236">
        <f t="shared" si="99"/>
        <v>0</v>
      </c>
      <c r="AC362" s="236">
        <f t="shared" si="100"/>
        <v>0</v>
      </c>
    </row>
    <row r="363" spans="3:29" s="189" customFormat="1" x14ac:dyDescent="0.2">
      <c r="C363" s="129">
        <v>354</v>
      </c>
      <c r="D363" s="190">
        <f t="shared" si="101"/>
        <v>45645</v>
      </c>
      <c r="E363" s="129">
        <f t="shared" si="89"/>
        <v>12</v>
      </c>
      <c r="F363" s="191">
        <f t="shared" si="90"/>
        <v>45645</v>
      </c>
      <c r="G363" s="129">
        <f t="shared" si="91"/>
        <v>51</v>
      </c>
      <c r="H363" s="129">
        <f t="shared" si="92"/>
        <v>19</v>
      </c>
      <c r="I363" s="129">
        <f t="shared" si="93"/>
        <v>4</v>
      </c>
      <c r="J363" s="192">
        <f t="shared" si="94"/>
        <v>45645</v>
      </c>
      <c r="K363" s="129" t="str" cm="1">
        <f t="array" ref="K363">IF(AND(I363&lt;7,INDEX(B_tblFTMatrix,$E363,$H363)="x"),"ft","")</f>
        <v/>
      </c>
      <c r="L363" s="129"/>
      <c r="M363" s="129"/>
      <c r="N363" s="129">
        <f t="shared" si="85"/>
        <v>1</v>
      </c>
      <c r="O363" s="129">
        <f t="shared" si="95"/>
        <v>1</v>
      </c>
      <c r="P363" s="231">
        <f t="shared" si="86"/>
        <v>8</v>
      </c>
      <c r="Q363" s="233" cm="1">
        <f t="array" ref="Q363">SUMPRODUCT((H_tblBGTage=I363)*(H_tblBGMnt=E363)*H_tblBG%)</f>
        <v>1</v>
      </c>
      <c r="R363" s="231">
        <f t="shared" si="96"/>
        <v>8</v>
      </c>
      <c r="S363" s="237"/>
      <c r="T363" s="237"/>
      <c r="U363" s="236" cm="1">
        <f t="array" ref="U363">SUMPRODUCT((DEZ!M_Verweiszeile=$H363)*DEZ!M_ProdTag*(DEZ!M_Monat=$E363))</f>
        <v>0</v>
      </c>
      <c r="V363" s="236" cm="1">
        <f t="array" ref="V363">SUMPRODUCT((DEZ!M_Verweiszeile=$H363)*DEZ!M_ProdN1*(DEZ!M_Monat=$E363))</f>
        <v>0</v>
      </c>
      <c r="W363" s="236" cm="1">
        <f t="array" ref="W363">SUMPRODUCT((DEZ!M_Verweiszeile=$H363)*DEZ!M_ProdN2*(DEZ!M_Monat=$E363))</f>
        <v>0</v>
      </c>
      <c r="X363" s="236">
        <f t="shared" si="97"/>
        <v>0</v>
      </c>
      <c r="Y363" s="236">
        <f t="shared" si="87"/>
        <v>0</v>
      </c>
      <c r="Z363" s="236">
        <f t="shared" si="88"/>
        <v>0</v>
      </c>
      <c r="AA363" s="236">
        <f t="shared" si="98"/>
        <v>0</v>
      </c>
      <c r="AB363" s="236">
        <f t="shared" si="99"/>
        <v>0</v>
      </c>
      <c r="AC363" s="236">
        <f t="shared" si="100"/>
        <v>0</v>
      </c>
    </row>
    <row r="364" spans="3:29" s="189" customFormat="1" x14ac:dyDescent="0.2">
      <c r="C364" s="129">
        <v>355</v>
      </c>
      <c r="D364" s="190">
        <f t="shared" si="101"/>
        <v>45646</v>
      </c>
      <c r="E364" s="129">
        <f t="shared" si="89"/>
        <v>12</v>
      </c>
      <c r="F364" s="191">
        <f t="shared" si="90"/>
        <v>45646</v>
      </c>
      <c r="G364" s="129">
        <f t="shared" si="91"/>
        <v>51</v>
      </c>
      <c r="H364" s="129">
        <f t="shared" si="92"/>
        <v>20</v>
      </c>
      <c r="I364" s="129">
        <f t="shared" si="93"/>
        <v>5</v>
      </c>
      <c r="J364" s="192">
        <f t="shared" si="94"/>
        <v>45646</v>
      </c>
      <c r="K364" s="129" t="str" cm="1">
        <f t="array" ref="K364">IF(AND(I364&lt;7,INDEX(B_tblFTMatrix,$E364,$H364)="x"),"ft","")</f>
        <v/>
      </c>
      <c r="L364" s="129"/>
      <c r="M364" s="129"/>
      <c r="N364" s="129">
        <f t="shared" si="85"/>
        <v>1</v>
      </c>
      <c r="O364" s="129">
        <f t="shared" si="95"/>
        <v>1</v>
      </c>
      <c r="P364" s="231">
        <f t="shared" si="86"/>
        <v>8</v>
      </c>
      <c r="Q364" s="233" cm="1">
        <f t="array" ref="Q364">SUMPRODUCT((H_tblBGTage=I364)*(H_tblBGMnt=E364)*H_tblBG%)</f>
        <v>1</v>
      </c>
      <c r="R364" s="231">
        <f t="shared" si="96"/>
        <v>8</v>
      </c>
      <c r="S364" s="237"/>
      <c r="T364" s="237"/>
      <c r="U364" s="236" cm="1">
        <f t="array" ref="U364">SUMPRODUCT((DEZ!M_Verweiszeile=$H364)*DEZ!M_ProdTag*(DEZ!M_Monat=$E364))</f>
        <v>0</v>
      </c>
      <c r="V364" s="236" cm="1">
        <f t="array" ref="V364">SUMPRODUCT((DEZ!M_Verweiszeile=$H364)*DEZ!M_ProdN1*(DEZ!M_Monat=$E364))</f>
        <v>0</v>
      </c>
      <c r="W364" s="236" cm="1">
        <f t="array" ref="W364">SUMPRODUCT((DEZ!M_Verweiszeile=$H364)*DEZ!M_ProdN2*(DEZ!M_Monat=$E364))</f>
        <v>0</v>
      </c>
      <c r="X364" s="236">
        <f t="shared" si="97"/>
        <v>0</v>
      </c>
      <c r="Y364" s="236">
        <f t="shared" si="87"/>
        <v>0</v>
      </c>
      <c r="Z364" s="236">
        <f t="shared" si="88"/>
        <v>0</v>
      </c>
      <c r="AA364" s="236">
        <f t="shared" si="98"/>
        <v>0</v>
      </c>
      <c r="AB364" s="236">
        <f t="shared" si="99"/>
        <v>0</v>
      </c>
      <c r="AC364" s="236">
        <f t="shared" si="100"/>
        <v>0</v>
      </c>
    </row>
    <row r="365" spans="3:29" s="189" customFormat="1" x14ac:dyDescent="0.2">
      <c r="C365" s="129">
        <v>356</v>
      </c>
      <c r="D365" s="190">
        <f t="shared" si="101"/>
        <v>45647</v>
      </c>
      <c r="E365" s="129">
        <f t="shared" si="89"/>
        <v>12</v>
      </c>
      <c r="F365" s="191">
        <f t="shared" si="90"/>
        <v>45647</v>
      </c>
      <c r="G365" s="129">
        <f t="shared" si="91"/>
        <v>51</v>
      </c>
      <c r="H365" s="129">
        <f t="shared" si="92"/>
        <v>21</v>
      </c>
      <c r="I365" s="129">
        <f t="shared" si="93"/>
        <v>6</v>
      </c>
      <c r="J365" s="192">
        <f t="shared" si="94"/>
        <v>45647</v>
      </c>
      <c r="K365" s="129" t="str" cm="1">
        <f t="array" ref="K365">IF(AND(I365&lt;7,INDEX(B_tblFTMatrix,$E365,$H365)="x"),"ft","")</f>
        <v/>
      </c>
      <c r="L365" s="129"/>
      <c r="M365" s="129"/>
      <c r="N365" s="129">
        <f t="shared" si="85"/>
        <v>0</v>
      </c>
      <c r="O365" s="129">
        <f t="shared" si="95"/>
        <v>0</v>
      </c>
      <c r="P365" s="231">
        <f t="shared" si="86"/>
        <v>0</v>
      </c>
      <c r="Q365" s="233" cm="1">
        <f t="array" ref="Q365">SUMPRODUCT((H_tblBGTage=I365)*(H_tblBGMnt=E365)*H_tblBG%)</f>
        <v>0</v>
      </c>
      <c r="R365" s="231">
        <f t="shared" si="96"/>
        <v>0</v>
      </c>
      <c r="S365" s="237"/>
      <c r="T365" s="237"/>
      <c r="U365" s="236" cm="1">
        <f t="array" ref="U365">SUMPRODUCT((DEZ!M_Verweiszeile=$H365)*DEZ!M_ProdTag*(DEZ!M_Monat=$E365))</f>
        <v>0</v>
      </c>
      <c r="V365" s="236" cm="1">
        <f t="array" ref="V365">SUMPRODUCT((DEZ!M_Verweiszeile=$H365)*DEZ!M_ProdN1*(DEZ!M_Monat=$E365))</f>
        <v>0</v>
      </c>
      <c r="W365" s="236" cm="1">
        <f t="array" ref="W365">SUMPRODUCT((DEZ!M_Verweiszeile=$H365)*DEZ!M_ProdN2*(DEZ!M_Monat=$E365))</f>
        <v>0</v>
      </c>
      <c r="X365" s="236">
        <f t="shared" si="97"/>
        <v>0</v>
      </c>
      <c r="Y365" s="236">
        <f t="shared" si="87"/>
        <v>0</v>
      </c>
      <c r="Z365" s="236">
        <f t="shared" si="88"/>
        <v>0</v>
      </c>
      <c r="AA365" s="236">
        <f t="shared" si="98"/>
        <v>0</v>
      </c>
      <c r="AB365" s="236">
        <f t="shared" si="99"/>
        <v>0</v>
      </c>
      <c r="AC365" s="236">
        <f t="shared" si="100"/>
        <v>0</v>
      </c>
    </row>
    <row r="366" spans="3:29" s="189" customFormat="1" x14ac:dyDescent="0.2">
      <c r="C366" s="129">
        <v>357</v>
      </c>
      <c r="D366" s="190">
        <f t="shared" si="101"/>
        <v>45648</v>
      </c>
      <c r="E366" s="129">
        <f t="shared" si="89"/>
        <v>12</v>
      </c>
      <c r="F366" s="191">
        <f t="shared" si="90"/>
        <v>45648</v>
      </c>
      <c r="G366" s="129">
        <f t="shared" si="91"/>
        <v>51</v>
      </c>
      <c r="H366" s="129">
        <f t="shared" si="92"/>
        <v>22</v>
      </c>
      <c r="I366" s="129">
        <f t="shared" si="93"/>
        <v>7</v>
      </c>
      <c r="J366" s="192">
        <f t="shared" si="94"/>
        <v>45648</v>
      </c>
      <c r="K366" s="129" t="str" cm="1">
        <f t="array" ref="K366">IF(AND(I366&lt;7,INDEX(B_tblFTMatrix,$E366,$H366)="x"),"ft","")</f>
        <v/>
      </c>
      <c r="L366" s="129"/>
      <c r="M366" s="129"/>
      <c r="N366" s="129">
        <f t="shared" si="85"/>
        <v>0</v>
      </c>
      <c r="O366" s="129">
        <f t="shared" si="95"/>
        <v>0</v>
      </c>
      <c r="P366" s="231">
        <f t="shared" si="86"/>
        <v>0</v>
      </c>
      <c r="Q366" s="233" cm="1">
        <f t="array" ref="Q366">SUMPRODUCT((H_tblBGTage=I366)*(H_tblBGMnt=E366)*H_tblBG%)</f>
        <v>0</v>
      </c>
      <c r="R366" s="231">
        <f t="shared" si="96"/>
        <v>0</v>
      </c>
      <c r="S366" s="237"/>
      <c r="T366" s="237"/>
      <c r="U366" s="236" cm="1">
        <f t="array" ref="U366">SUMPRODUCT((DEZ!M_Verweiszeile=$H366)*DEZ!M_ProdTag*(DEZ!M_Monat=$E366))</f>
        <v>0</v>
      </c>
      <c r="V366" s="236" cm="1">
        <f t="array" ref="V366">SUMPRODUCT((DEZ!M_Verweiszeile=$H366)*DEZ!M_ProdN1*(DEZ!M_Monat=$E366))</f>
        <v>0</v>
      </c>
      <c r="W366" s="236" cm="1">
        <f t="array" ref="W366">SUMPRODUCT((DEZ!M_Verweiszeile=$H366)*DEZ!M_ProdN2*(DEZ!M_Monat=$E366))</f>
        <v>0</v>
      </c>
      <c r="X366" s="236">
        <f t="shared" si="97"/>
        <v>0</v>
      </c>
      <c r="Y366" s="236">
        <f t="shared" si="87"/>
        <v>0</v>
      </c>
      <c r="Z366" s="236">
        <f t="shared" si="88"/>
        <v>0</v>
      </c>
      <c r="AA366" s="236">
        <f t="shared" si="98"/>
        <v>0</v>
      </c>
      <c r="AB366" s="236">
        <f t="shared" si="99"/>
        <v>0</v>
      </c>
      <c r="AC366" s="236">
        <f t="shared" si="100"/>
        <v>0</v>
      </c>
    </row>
    <row r="367" spans="3:29" s="189" customFormat="1" x14ac:dyDescent="0.2">
      <c r="C367" s="129">
        <v>358</v>
      </c>
      <c r="D367" s="190">
        <f t="shared" si="101"/>
        <v>45649</v>
      </c>
      <c r="E367" s="129">
        <f t="shared" si="89"/>
        <v>12</v>
      </c>
      <c r="F367" s="191">
        <f t="shared" si="90"/>
        <v>45649</v>
      </c>
      <c r="G367" s="129">
        <f t="shared" si="91"/>
        <v>52</v>
      </c>
      <c r="H367" s="129">
        <f t="shared" si="92"/>
        <v>23</v>
      </c>
      <c r="I367" s="129">
        <f t="shared" si="93"/>
        <v>1</v>
      </c>
      <c r="J367" s="192">
        <f t="shared" si="94"/>
        <v>45649</v>
      </c>
      <c r="K367" s="129" t="str" cm="1">
        <f t="array" ref="K367">IF(AND(I367&lt;7,INDEX(B_tblFTMatrix,$E367,$H367)="x"),"ft","")</f>
        <v/>
      </c>
      <c r="L367" s="129"/>
      <c r="M367" s="129"/>
      <c r="N367" s="129">
        <f t="shared" si="85"/>
        <v>1</v>
      </c>
      <c r="O367" s="129">
        <f t="shared" si="95"/>
        <v>1</v>
      </c>
      <c r="P367" s="231">
        <f t="shared" si="86"/>
        <v>8</v>
      </c>
      <c r="Q367" s="233" cm="1">
        <f t="array" ref="Q367">SUMPRODUCT((H_tblBGTage=I367)*(H_tblBGMnt=E367)*H_tblBG%)</f>
        <v>1</v>
      </c>
      <c r="R367" s="231">
        <f t="shared" si="96"/>
        <v>8</v>
      </c>
      <c r="S367" s="237"/>
      <c r="T367" s="237"/>
      <c r="U367" s="236" cm="1">
        <f t="array" ref="U367">SUMPRODUCT((DEZ!M_Verweiszeile=$H367)*DEZ!M_ProdTag*(DEZ!M_Monat=$E367))</f>
        <v>0</v>
      </c>
      <c r="V367" s="236" cm="1">
        <f t="array" ref="V367">SUMPRODUCT((DEZ!M_Verweiszeile=$H367)*DEZ!M_ProdN1*(DEZ!M_Monat=$E367))</f>
        <v>0</v>
      </c>
      <c r="W367" s="236" cm="1">
        <f t="array" ref="W367">SUMPRODUCT((DEZ!M_Verweiszeile=$H367)*DEZ!M_ProdN2*(DEZ!M_Monat=$E367))</f>
        <v>0</v>
      </c>
      <c r="X367" s="236">
        <f t="shared" si="97"/>
        <v>0</v>
      </c>
      <c r="Y367" s="236">
        <f t="shared" si="87"/>
        <v>0</v>
      </c>
      <c r="Z367" s="236">
        <f t="shared" si="88"/>
        <v>0</v>
      </c>
      <c r="AA367" s="236">
        <f t="shared" si="98"/>
        <v>0</v>
      </c>
      <c r="AB367" s="236">
        <f t="shared" si="99"/>
        <v>0</v>
      </c>
      <c r="AC367" s="236">
        <f t="shared" si="100"/>
        <v>0</v>
      </c>
    </row>
    <row r="368" spans="3:29" s="189" customFormat="1" x14ac:dyDescent="0.2">
      <c r="C368" s="129">
        <v>359</v>
      </c>
      <c r="D368" s="190">
        <f t="shared" si="101"/>
        <v>45650</v>
      </c>
      <c r="E368" s="129">
        <f t="shared" si="89"/>
        <v>12</v>
      </c>
      <c r="F368" s="191">
        <f t="shared" si="90"/>
        <v>45650</v>
      </c>
      <c r="G368" s="129">
        <f t="shared" si="91"/>
        <v>52</v>
      </c>
      <c r="H368" s="129">
        <f t="shared" si="92"/>
        <v>24</v>
      </c>
      <c r="I368" s="129">
        <f t="shared" si="93"/>
        <v>2</v>
      </c>
      <c r="J368" s="192">
        <f t="shared" si="94"/>
        <v>45650</v>
      </c>
      <c r="K368" s="129" t="str" cm="1">
        <f t="array" ref="K368">IF(AND(I368&lt;7,INDEX(B_tblFTMatrix,$E368,$H368)="x"),"ft","")</f>
        <v/>
      </c>
      <c r="L368" s="129"/>
      <c r="M368" s="129"/>
      <c r="N368" s="129">
        <f t="shared" si="85"/>
        <v>1</v>
      </c>
      <c r="O368" s="129">
        <f t="shared" si="95"/>
        <v>1</v>
      </c>
      <c r="P368" s="231">
        <f t="shared" si="86"/>
        <v>8</v>
      </c>
      <c r="Q368" s="233" cm="1">
        <f t="array" ref="Q368">SUMPRODUCT((H_tblBGTage=I368)*(H_tblBGMnt=E368)*H_tblBG%)</f>
        <v>1</v>
      </c>
      <c r="R368" s="231">
        <f t="shared" si="96"/>
        <v>8</v>
      </c>
      <c r="S368" s="237"/>
      <c r="T368" s="237"/>
      <c r="U368" s="236" cm="1">
        <f t="array" ref="U368">SUMPRODUCT((DEZ!M_Verweiszeile=$H368)*DEZ!M_ProdTag*(DEZ!M_Monat=$E368))</f>
        <v>0</v>
      </c>
      <c r="V368" s="236" cm="1">
        <f t="array" ref="V368">SUMPRODUCT((DEZ!M_Verweiszeile=$H368)*DEZ!M_ProdN1*(DEZ!M_Monat=$E368))</f>
        <v>0</v>
      </c>
      <c r="W368" s="236" cm="1">
        <f t="array" ref="W368">SUMPRODUCT((DEZ!M_Verweiszeile=$H368)*DEZ!M_ProdN2*(DEZ!M_Monat=$E368))</f>
        <v>0</v>
      </c>
      <c r="X368" s="236">
        <f t="shared" si="97"/>
        <v>0</v>
      </c>
      <c r="Y368" s="236">
        <f t="shared" si="87"/>
        <v>0</v>
      </c>
      <c r="Z368" s="236">
        <f t="shared" si="88"/>
        <v>0</v>
      </c>
      <c r="AA368" s="236">
        <f t="shared" si="98"/>
        <v>0</v>
      </c>
      <c r="AB368" s="236">
        <f t="shared" si="99"/>
        <v>0</v>
      </c>
      <c r="AC368" s="236">
        <f t="shared" si="100"/>
        <v>0</v>
      </c>
    </row>
    <row r="369" spans="3:29" x14ac:dyDescent="0.2">
      <c r="C369" s="129">
        <v>360</v>
      </c>
      <c r="D369" s="190">
        <f t="shared" si="101"/>
        <v>45651</v>
      </c>
      <c r="E369" s="129">
        <f t="shared" si="89"/>
        <v>12</v>
      </c>
      <c r="F369" s="191">
        <f t="shared" si="90"/>
        <v>45651</v>
      </c>
      <c r="G369" s="129">
        <f t="shared" si="91"/>
        <v>52</v>
      </c>
      <c r="H369" s="129">
        <f t="shared" si="92"/>
        <v>25</v>
      </c>
      <c r="I369" s="129">
        <f t="shared" si="93"/>
        <v>3</v>
      </c>
      <c r="J369" s="192">
        <f t="shared" si="94"/>
        <v>45651</v>
      </c>
      <c r="K369" s="129" t="str" cm="1">
        <f t="array" ref="K369">IF(AND(I369&lt;7,INDEX(B_tblFTMatrix,$E369,$H369)="x"),"ft","")</f>
        <v/>
      </c>
      <c r="L369" s="129"/>
      <c r="M369" s="129"/>
      <c r="N369" s="129">
        <f t="shared" si="85"/>
        <v>1</v>
      </c>
      <c r="O369" s="129">
        <f t="shared" si="95"/>
        <v>1</v>
      </c>
      <c r="P369" s="231">
        <f t="shared" si="86"/>
        <v>8</v>
      </c>
      <c r="Q369" s="233" cm="1">
        <f t="array" ref="Q369">SUMPRODUCT((H_tblBGTage=I369)*(H_tblBGMnt=E369)*H_tblBG%)</f>
        <v>1</v>
      </c>
      <c r="R369" s="231">
        <f t="shared" si="96"/>
        <v>8</v>
      </c>
      <c r="S369" s="237"/>
      <c r="T369" s="237"/>
      <c r="U369" s="236" cm="1">
        <f t="array" ref="U369">SUMPRODUCT((DEZ!M_Verweiszeile=$H369)*DEZ!M_ProdTag*(DEZ!M_Monat=$E369))</f>
        <v>0</v>
      </c>
      <c r="V369" s="236" cm="1">
        <f t="array" ref="V369">SUMPRODUCT((DEZ!M_Verweiszeile=$H369)*DEZ!M_ProdN1*(DEZ!M_Monat=$E369))</f>
        <v>0</v>
      </c>
      <c r="W369" s="236" cm="1">
        <f t="array" ref="W369">SUMPRODUCT((DEZ!M_Verweiszeile=$H369)*DEZ!M_ProdN2*(DEZ!M_Monat=$E369))</f>
        <v>0</v>
      </c>
      <c r="X369" s="236">
        <f t="shared" si="97"/>
        <v>0</v>
      </c>
      <c r="Y369" s="236">
        <f t="shared" si="87"/>
        <v>0</v>
      </c>
      <c r="Z369" s="236">
        <f t="shared" si="88"/>
        <v>0</v>
      </c>
      <c r="AA369" s="236">
        <f t="shared" si="98"/>
        <v>0</v>
      </c>
      <c r="AB369" s="236">
        <f t="shared" si="99"/>
        <v>0</v>
      </c>
      <c r="AC369" s="236">
        <f t="shared" si="100"/>
        <v>0</v>
      </c>
    </row>
    <row r="370" spans="3:29" x14ac:dyDescent="0.2">
      <c r="C370" s="129">
        <v>361</v>
      </c>
      <c r="D370" s="190">
        <f t="shared" si="101"/>
        <v>45652</v>
      </c>
      <c r="E370" s="129">
        <f t="shared" si="89"/>
        <v>12</v>
      </c>
      <c r="F370" s="191">
        <f t="shared" si="90"/>
        <v>45652</v>
      </c>
      <c r="G370" s="129">
        <f t="shared" si="91"/>
        <v>52</v>
      </c>
      <c r="H370" s="129">
        <f t="shared" si="92"/>
        <v>26</v>
      </c>
      <c r="I370" s="129">
        <f t="shared" si="93"/>
        <v>4</v>
      </c>
      <c r="J370" s="192">
        <f t="shared" si="94"/>
        <v>45652</v>
      </c>
      <c r="K370" s="129" t="str" cm="1">
        <f t="array" ref="K370">IF(AND(I370&lt;7,INDEX(B_tblFTMatrix,$E370,$H370)="x"),"ft","")</f>
        <v/>
      </c>
      <c r="L370" s="129"/>
      <c r="M370" s="129"/>
      <c r="N370" s="129">
        <f t="shared" si="85"/>
        <v>1</v>
      </c>
      <c r="O370" s="129">
        <f t="shared" si="95"/>
        <v>1</v>
      </c>
      <c r="P370" s="231">
        <f t="shared" si="86"/>
        <v>8</v>
      </c>
      <c r="Q370" s="233" cm="1">
        <f t="array" ref="Q370">SUMPRODUCT((H_tblBGTage=I370)*(H_tblBGMnt=E370)*H_tblBG%)</f>
        <v>1</v>
      </c>
      <c r="R370" s="231">
        <f t="shared" si="96"/>
        <v>8</v>
      </c>
      <c r="S370" s="237"/>
      <c r="T370" s="237"/>
      <c r="U370" s="236" cm="1">
        <f t="array" ref="U370">SUMPRODUCT((DEZ!M_Verweiszeile=$H370)*DEZ!M_ProdTag*(DEZ!M_Monat=$E370))</f>
        <v>0</v>
      </c>
      <c r="V370" s="236" cm="1">
        <f t="array" ref="V370">SUMPRODUCT((DEZ!M_Verweiszeile=$H370)*DEZ!M_ProdN1*(DEZ!M_Monat=$E370))</f>
        <v>0</v>
      </c>
      <c r="W370" s="236" cm="1">
        <f t="array" ref="W370">SUMPRODUCT((DEZ!M_Verweiszeile=$H370)*DEZ!M_ProdN2*(DEZ!M_Monat=$E370))</f>
        <v>0</v>
      </c>
      <c r="X370" s="236">
        <f t="shared" si="97"/>
        <v>0</v>
      </c>
      <c r="Y370" s="236">
        <f t="shared" si="87"/>
        <v>0</v>
      </c>
      <c r="Z370" s="236">
        <f t="shared" si="88"/>
        <v>0</v>
      </c>
      <c r="AA370" s="236">
        <f t="shared" si="98"/>
        <v>0</v>
      </c>
      <c r="AB370" s="236">
        <f t="shared" si="99"/>
        <v>0</v>
      </c>
      <c r="AC370" s="236">
        <f t="shared" si="100"/>
        <v>0</v>
      </c>
    </row>
    <row r="371" spans="3:29" x14ac:dyDescent="0.2">
      <c r="C371" s="129">
        <v>362</v>
      </c>
      <c r="D371" s="190">
        <f t="shared" si="101"/>
        <v>45653</v>
      </c>
      <c r="E371" s="129">
        <f t="shared" si="89"/>
        <v>12</v>
      </c>
      <c r="F371" s="191">
        <f t="shared" si="90"/>
        <v>45653</v>
      </c>
      <c r="G371" s="129">
        <f t="shared" si="91"/>
        <v>52</v>
      </c>
      <c r="H371" s="129">
        <f t="shared" si="92"/>
        <v>27</v>
      </c>
      <c r="I371" s="129">
        <f t="shared" si="93"/>
        <v>5</v>
      </c>
      <c r="J371" s="192">
        <f t="shared" si="94"/>
        <v>45653</v>
      </c>
      <c r="K371" s="129" t="str" cm="1">
        <f t="array" ref="K371">IF(AND(I371&lt;7,INDEX(B_tblFTMatrix,$E371,$H371)="x"),"ft","")</f>
        <v/>
      </c>
      <c r="L371" s="129"/>
      <c r="M371" s="129"/>
      <c r="N371" s="129">
        <f t="shared" si="85"/>
        <v>1</v>
      </c>
      <c r="O371" s="129">
        <f t="shared" si="95"/>
        <v>1</v>
      </c>
      <c r="P371" s="231">
        <f t="shared" si="86"/>
        <v>8</v>
      </c>
      <c r="Q371" s="233" cm="1">
        <f t="array" ref="Q371">SUMPRODUCT((H_tblBGTage=I371)*(H_tblBGMnt=E371)*H_tblBG%)</f>
        <v>1</v>
      </c>
      <c r="R371" s="231">
        <f t="shared" si="96"/>
        <v>8</v>
      </c>
      <c r="S371" s="237"/>
      <c r="T371" s="237"/>
      <c r="U371" s="236" cm="1">
        <f t="array" ref="U371">SUMPRODUCT((DEZ!M_Verweiszeile=$H371)*DEZ!M_ProdTag*(DEZ!M_Monat=$E371))</f>
        <v>0</v>
      </c>
      <c r="V371" s="236" cm="1">
        <f t="array" ref="V371">SUMPRODUCT((DEZ!M_Verweiszeile=$H371)*DEZ!M_ProdN1*(DEZ!M_Monat=$E371))</f>
        <v>0</v>
      </c>
      <c r="W371" s="236" cm="1">
        <f t="array" ref="W371">SUMPRODUCT((DEZ!M_Verweiszeile=$H371)*DEZ!M_ProdN2*(DEZ!M_Monat=$E371))</f>
        <v>0</v>
      </c>
      <c r="X371" s="236">
        <f t="shared" si="97"/>
        <v>0</v>
      </c>
      <c r="Y371" s="236">
        <f t="shared" si="87"/>
        <v>0</v>
      </c>
      <c r="Z371" s="236">
        <f t="shared" si="88"/>
        <v>0</v>
      </c>
      <c r="AA371" s="236">
        <f t="shared" si="98"/>
        <v>0</v>
      </c>
      <c r="AB371" s="236">
        <f t="shared" si="99"/>
        <v>0</v>
      </c>
      <c r="AC371" s="236">
        <f t="shared" si="100"/>
        <v>0</v>
      </c>
    </row>
    <row r="372" spans="3:29" x14ac:dyDescent="0.2">
      <c r="C372" s="129">
        <v>363</v>
      </c>
      <c r="D372" s="190">
        <f t="shared" si="101"/>
        <v>45654</v>
      </c>
      <c r="E372" s="129">
        <f t="shared" si="89"/>
        <v>12</v>
      </c>
      <c r="F372" s="191">
        <f t="shared" si="90"/>
        <v>45654</v>
      </c>
      <c r="G372" s="129">
        <f t="shared" si="91"/>
        <v>52</v>
      </c>
      <c r="H372" s="129">
        <f t="shared" si="92"/>
        <v>28</v>
      </c>
      <c r="I372" s="129">
        <f t="shared" si="93"/>
        <v>6</v>
      </c>
      <c r="J372" s="192">
        <f t="shared" si="94"/>
        <v>45654</v>
      </c>
      <c r="K372" s="129" t="str" cm="1">
        <f t="array" ref="K372">IF(AND(I372&lt;7,INDEX(B_tblFTMatrix,$E372,$H372)="x"),"ft","")</f>
        <v/>
      </c>
      <c r="L372" s="129"/>
      <c r="M372" s="129"/>
      <c r="N372" s="129">
        <f t="shared" si="85"/>
        <v>0</v>
      </c>
      <c r="O372" s="129">
        <f t="shared" si="95"/>
        <v>0</v>
      </c>
      <c r="P372" s="231">
        <f t="shared" si="86"/>
        <v>0</v>
      </c>
      <c r="Q372" s="233" cm="1">
        <f t="array" ref="Q372">SUMPRODUCT((H_tblBGTage=I372)*(H_tblBGMnt=E372)*H_tblBG%)</f>
        <v>0</v>
      </c>
      <c r="R372" s="231">
        <f t="shared" si="96"/>
        <v>0</v>
      </c>
      <c r="S372" s="237"/>
      <c r="T372" s="237"/>
      <c r="U372" s="236" cm="1">
        <f t="array" ref="U372">SUMPRODUCT((DEZ!M_Verweiszeile=$H372)*DEZ!M_ProdTag*(DEZ!M_Monat=$E372))</f>
        <v>0</v>
      </c>
      <c r="V372" s="236" cm="1">
        <f t="array" ref="V372">SUMPRODUCT((DEZ!M_Verweiszeile=$H372)*DEZ!M_ProdN1*(DEZ!M_Monat=$E372))</f>
        <v>0</v>
      </c>
      <c r="W372" s="236" cm="1">
        <f t="array" ref="W372">SUMPRODUCT((DEZ!M_Verweiszeile=$H372)*DEZ!M_ProdN2*(DEZ!M_Monat=$E372))</f>
        <v>0</v>
      </c>
      <c r="X372" s="236">
        <f t="shared" si="97"/>
        <v>0</v>
      </c>
      <c r="Y372" s="236">
        <f t="shared" si="87"/>
        <v>0</v>
      </c>
      <c r="Z372" s="236">
        <f t="shared" si="88"/>
        <v>0</v>
      </c>
      <c r="AA372" s="236">
        <f t="shared" si="98"/>
        <v>0</v>
      </c>
      <c r="AB372" s="236">
        <f t="shared" si="99"/>
        <v>0</v>
      </c>
      <c r="AC372" s="236">
        <f t="shared" si="100"/>
        <v>0</v>
      </c>
    </row>
    <row r="373" spans="3:29" x14ac:dyDescent="0.2">
      <c r="C373" s="129">
        <v>364</v>
      </c>
      <c r="D373" s="190">
        <f t="shared" si="101"/>
        <v>45655</v>
      </c>
      <c r="E373" s="129">
        <f t="shared" si="89"/>
        <v>12</v>
      </c>
      <c r="F373" s="191">
        <f t="shared" si="90"/>
        <v>45655</v>
      </c>
      <c r="G373" s="129">
        <f t="shared" si="91"/>
        <v>52</v>
      </c>
      <c r="H373" s="129">
        <f t="shared" si="92"/>
        <v>29</v>
      </c>
      <c r="I373" s="129">
        <f t="shared" si="93"/>
        <v>7</v>
      </c>
      <c r="J373" s="192">
        <f t="shared" si="94"/>
        <v>45655</v>
      </c>
      <c r="K373" s="129" t="str" cm="1">
        <f t="array" ref="K373">IF(AND(I373&lt;7,INDEX(B_tblFTMatrix,$E373,$H373)="x"),"ft","")</f>
        <v/>
      </c>
      <c r="L373" s="129"/>
      <c r="M373" s="129"/>
      <c r="N373" s="129">
        <f t="shared" si="85"/>
        <v>0</v>
      </c>
      <c r="O373" s="129">
        <f t="shared" si="95"/>
        <v>0</v>
      </c>
      <c r="P373" s="231">
        <f t="shared" si="86"/>
        <v>0</v>
      </c>
      <c r="Q373" s="233" cm="1">
        <f t="array" ref="Q373">SUMPRODUCT((H_tblBGTage=I373)*(H_tblBGMnt=E373)*H_tblBG%)</f>
        <v>0</v>
      </c>
      <c r="R373" s="231">
        <f t="shared" si="96"/>
        <v>0</v>
      </c>
      <c r="S373" s="237"/>
      <c r="T373" s="237"/>
      <c r="U373" s="236" cm="1">
        <f t="array" ref="U373">SUMPRODUCT((DEZ!M_Verweiszeile=$H373)*DEZ!M_ProdTag*(DEZ!M_Monat=$E373))</f>
        <v>0</v>
      </c>
      <c r="V373" s="236" cm="1">
        <f t="array" ref="V373">SUMPRODUCT((DEZ!M_Verweiszeile=$H373)*DEZ!M_ProdN1*(DEZ!M_Monat=$E373))</f>
        <v>0</v>
      </c>
      <c r="W373" s="236" cm="1">
        <f t="array" ref="W373">SUMPRODUCT((DEZ!M_Verweiszeile=$H373)*DEZ!M_ProdN2*(DEZ!M_Monat=$E373))</f>
        <v>0</v>
      </c>
      <c r="X373" s="236">
        <f t="shared" si="97"/>
        <v>0</v>
      </c>
      <c r="Y373" s="236">
        <f t="shared" si="87"/>
        <v>0</v>
      </c>
      <c r="Z373" s="236">
        <f t="shared" si="88"/>
        <v>0</v>
      </c>
      <c r="AA373" s="236">
        <f t="shared" si="98"/>
        <v>0</v>
      </c>
      <c r="AB373" s="236">
        <f t="shared" si="99"/>
        <v>0</v>
      </c>
      <c r="AC373" s="236">
        <f t="shared" si="100"/>
        <v>0</v>
      </c>
    </row>
    <row r="374" spans="3:29" x14ac:dyDescent="0.2">
      <c r="C374" s="129">
        <v>365</v>
      </c>
      <c r="D374" s="190">
        <f t="shared" si="101"/>
        <v>45656</v>
      </c>
      <c r="E374" s="129">
        <f t="shared" si="89"/>
        <v>12</v>
      </c>
      <c r="F374" s="191">
        <f t="shared" si="90"/>
        <v>45656</v>
      </c>
      <c r="G374" s="129">
        <f t="shared" si="91"/>
        <v>1</v>
      </c>
      <c r="H374" s="129">
        <f t="shared" si="92"/>
        <v>30</v>
      </c>
      <c r="I374" s="129">
        <f t="shared" si="93"/>
        <v>1</v>
      </c>
      <c r="J374" s="192">
        <f t="shared" si="94"/>
        <v>45656</v>
      </c>
      <c r="K374" s="129" t="str" cm="1">
        <f t="array" ref="K374">IF(AND(I374&lt;7,INDEX(B_tblFTMatrix,$E374,$H374)="x"),"ft","")</f>
        <v/>
      </c>
      <c r="L374" s="129"/>
      <c r="M374" s="129"/>
      <c r="N374" s="129">
        <f t="shared" si="85"/>
        <v>1</v>
      </c>
      <c r="O374" s="129">
        <f t="shared" si="95"/>
        <v>1</v>
      </c>
      <c r="P374" s="231">
        <f t="shared" si="86"/>
        <v>8</v>
      </c>
      <c r="Q374" s="233" cm="1">
        <f t="array" ref="Q374">SUMPRODUCT((H_tblBGTage=I374)*(H_tblBGMnt=E374)*H_tblBG%)</f>
        <v>1</v>
      </c>
      <c r="R374" s="231">
        <f t="shared" si="96"/>
        <v>8</v>
      </c>
      <c r="S374" s="237"/>
      <c r="T374" s="237"/>
      <c r="U374" s="236" cm="1">
        <f t="array" ref="U374">SUMPRODUCT((DEZ!M_Verweiszeile=$H374)*DEZ!M_ProdTag*(DEZ!M_Monat=$E374))</f>
        <v>0</v>
      </c>
      <c r="V374" s="236" cm="1">
        <f t="array" ref="V374">SUMPRODUCT((DEZ!M_Verweiszeile=$H374)*DEZ!M_ProdN1*(DEZ!M_Monat=$E374))</f>
        <v>0</v>
      </c>
      <c r="W374" s="236" cm="1">
        <f t="array" ref="W374">SUMPRODUCT((DEZ!M_Verweiszeile=$H374)*DEZ!M_ProdN2*(DEZ!M_Monat=$E374))</f>
        <v>0</v>
      </c>
      <c r="X374" s="236">
        <f t="shared" si="97"/>
        <v>0</v>
      </c>
      <c r="Y374" s="236">
        <f t="shared" si="87"/>
        <v>0</v>
      </c>
      <c r="Z374" s="236">
        <f t="shared" si="88"/>
        <v>0</v>
      </c>
      <c r="AA374" s="236">
        <f t="shared" si="98"/>
        <v>0</v>
      </c>
      <c r="AB374" s="236">
        <f t="shared" si="99"/>
        <v>0</v>
      </c>
      <c r="AC374" s="236">
        <f t="shared" si="100"/>
        <v>0</v>
      </c>
    </row>
    <row r="375" spans="3:29" x14ac:dyDescent="0.2">
      <c r="C375" s="129">
        <f>IF(YEAR(D375)&lt;&gt;YEAR(D374),1,366)</f>
        <v>366</v>
      </c>
      <c r="D375" s="190">
        <f t="shared" si="101"/>
        <v>45657</v>
      </c>
      <c r="E375" s="129">
        <f>IF($C$375&lt;&gt;1,MONTH(D375),"")</f>
        <v>12</v>
      </c>
      <c r="F375" s="191">
        <f>IF($C$375&lt;&gt;1,D375,"")</f>
        <v>45657</v>
      </c>
      <c r="G375" s="129">
        <f>IF($C$375&lt;&gt;1,_xlfn.ISOWEEKNUM(D375),"")</f>
        <v>1</v>
      </c>
      <c r="H375" s="129">
        <f>IF($C$375&lt;&gt;1,DAY(D375),"")</f>
        <v>31</v>
      </c>
      <c r="I375" s="129">
        <f>IF($C$375&lt;&gt;1,WEEKDAY(D375,2),"")</f>
        <v>2</v>
      </c>
      <c r="J375" s="192">
        <f>IF($C$375&lt;&gt;1,D375,"")</f>
        <v>45657</v>
      </c>
      <c r="K375" s="129" t="str" cm="1">
        <f t="array" ref="K375">IF($C$375&lt;&gt;1,IF(AND(I375&lt;7,INDEX(B_tblFTMatrix,$E375,$H375)="x"),"ft",""),"")</f>
        <v/>
      </c>
      <c r="L375" s="129"/>
      <c r="M375" s="129"/>
      <c r="N375" s="129">
        <f>IF($C$375&lt;&gt;1,IF(I375&lt;6,1,0),"")</f>
        <v>1</v>
      </c>
      <c r="O375" s="129">
        <f t="shared" si="95"/>
        <v>1</v>
      </c>
      <c r="P375" s="231">
        <f>IFERROR(IF(C375&lt;&gt;1,$E$3*N375,0),0)</f>
        <v>8</v>
      </c>
      <c r="Q375" s="233" cm="1">
        <f t="array" ref="Q375">SUMPRODUCT((H_tblBGTage=I375)*(H_tblBGMnt=E375)*H_tblBG%)</f>
        <v>1</v>
      </c>
      <c r="R375" s="231">
        <f t="shared" si="96"/>
        <v>8</v>
      </c>
      <c r="S375" s="237"/>
      <c r="T375" s="237"/>
      <c r="U375" s="319" cm="1">
        <f t="array" ref="U375">SUMPRODUCT((DEZ!M_Verweiszeile=$H375)*DEZ!M_ProdTag*(DEZ!M_Monat=$E375))</f>
        <v>0</v>
      </c>
      <c r="V375" s="236" cm="1">
        <f t="array" ref="V375">SUMPRODUCT((DEZ!M_Verweiszeile=$H375)*DEZ!M_ProdN1*(DEZ!M_Monat=$E375))</f>
        <v>0</v>
      </c>
      <c r="W375" s="236" cm="1">
        <f t="array" ref="W375">SUMPRODUCT((DEZ!M_Verweiszeile=$H375)*DEZ!M_ProdN2*(DEZ!M_Monat=$E375))</f>
        <v>0</v>
      </c>
      <c r="X375" s="236">
        <f t="shared" si="97"/>
        <v>0</v>
      </c>
      <c r="Y375" s="236">
        <f t="shared" si="87"/>
        <v>0</v>
      </c>
      <c r="Z375" s="236">
        <f t="shared" si="88"/>
        <v>0</v>
      </c>
      <c r="AA375" s="236">
        <f t="shared" si="98"/>
        <v>0</v>
      </c>
      <c r="AB375" s="236">
        <f t="shared" si="99"/>
        <v>0</v>
      </c>
      <c r="AC375" s="236">
        <f t="shared" si="100"/>
        <v>0</v>
      </c>
    </row>
    <row r="376" spans="3:29" x14ac:dyDescent="0.2">
      <c r="U376" s="269"/>
    </row>
    <row r="380" spans="3:29" x14ac:dyDescent="0.2">
      <c r="D380" s="193" t="s">
        <v>151</v>
      </c>
      <c r="E380" s="193"/>
    </row>
    <row r="381" spans="3:29" x14ac:dyDescent="0.2">
      <c r="D381" s="194"/>
      <c r="E381" s="194"/>
    </row>
    <row r="382" spans="3:29" x14ac:dyDescent="0.2">
      <c r="D382" s="195">
        <v>1</v>
      </c>
      <c r="E382" s="196">
        <f t="shared" ref="E382:E392" si="102">DATE(A_Jahr,D383,1)-1</f>
        <v>45322</v>
      </c>
    </row>
    <row r="383" spans="3:29" x14ac:dyDescent="0.2">
      <c r="D383" s="195">
        <v>2</v>
      </c>
      <c r="E383" s="196">
        <f t="shared" si="102"/>
        <v>45351</v>
      </c>
    </row>
    <row r="384" spans="3:29" x14ac:dyDescent="0.2">
      <c r="D384" s="195">
        <v>3</v>
      </c>
      <c r="E384" s="196">
        <f t="shared" si="102"/>
        <v>45382</v>
      </c>
    </row>
    <row r="385" spans="4:5" x14ac:dyDescent="0.2">
      <c r="D385" s="195">
        <v>4</v>
      </c>
      <c r="E385" s="196">
        <f t="shared" si="102"/>
        <v>45412</v>
      </c>
    </row>
    <row r="386" spans="4:5" x14ac:dyDescent="0.2">
      <c r="D386" s="195">
        <v>5</v>
      </c>
      <c r="E386" s="196">
        <f t="shared" si="102"/>
        <v>45443</v>
      </c>
    </row>
    <row r="387" spans="4:5" x14ac:dyDescent="0.2">
      <c r="D387" s="195">
        <v>6</v>
      </c>
      <c r="E387" s="196">
        <f t="shared" si="102"/>
        <v>45473</v>
      </c>
    </row>
    <row r="388" spans="4:5" x14ac:dyDescent="0.2">
      <c r="D388" s="195">
        <v>7</v>
      </c>
      <c r="E388" s="196">
        <f t="shared" si="102"/>
        <v>45504</v>
      </c>
    </row>
    <row r="389" spans="4:5" x14ac:dyDescent="0.2">
      <c r="D389" s="195">
        <v>8</v>
      </c>
      <c r="E389" s="196">
        <f t="shared" si="102"/>
        <v>45535</v>
      </c>
    </row>
    <row r="390" spans="4:5" x14ac:dyDescent="0.2">
      <c r="D390" s="195">
        <v>9</v>
      </c>
      <c r="E390" s="196">
        <f t="shared" si="102"/>
        <v>45565</v>
      </c>
    </row>
    <row r="391" spans="4:5" x14ac:dyDescent="0.2">
      <c r="D391" s="195">
        <v>10</v>
      </c>
      <c r="E391" s="196">
        <f t="shared" si="102"/>
        <v>45596</v>
      </c>
    </row>
    <row r="392" spans="4:5" x14ac:dyDescent="0.2">
      <c r="D392" s="195">
        <v>11</v>
      </c>
      <c r="E392" s="196">
        <f t="shared" si="102"/>
        <v>45626</v>
      </c>
    </row>
    <row r="393" spans="4:5" x14ac:dyDescent="0.2">
      <c r="D393" s="195">
        <v>12</v>
      </c>
      <c r="E393" s="196">
        <f>DATE(A_Jahr,12,31)</f>
        <v>45657</v>
      </c>
    </row>
  </sheetData>
  <sheetProtection algorithmName="SHA-512" hashValue="WZbFi8AHDJzMAREzTTE6gwkZomqh4pfLWdkv7Y04fSOBLp/L9vbXiwHtzgsAMxqteKK5vXjhFVD3WqGLyJtHJA==" saltValue="5UWB4QlWKzSlWeAe0MfFhg==" spinCount="100000" sheet="1" objects="1" scenarios="1"/>
  <mergeCells count="5">
    <mergeCell ref="AA2:AB2"/>
    <mergeCell ref="C3:D3"/>
    <mergeCell ref="H3:I3"/>
    <mergeCell ref="M3:N3"/>
    <mergeCell ref="M4:N4"/>
  </mergeCells>
  <phoneticPr fontId="67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084E-E7D5-498B-BE26-68E760926227}">
  <sheetPr codeName="m11nov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November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45597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November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-168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11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0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2</v>
      </c>
      <c r="AJ15" s="428">
        <f t="shared" si="1"/>
        <v>1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45597</v>
      </c>
      <c r="G16" s="431">
        <f>F$16+1</f>
        <v>45598</v>
      </c>
      <c r="H16" s="431">
        <f t="shared" ref="H16:AJ16" si="2">G$16+1</f>
        <v>45599</v>
      </c>
      <c r="I16" s="431">
        <f t="shared" si="2"/>
        <v>45600</v>
      </c>
      <c r="J16" s="431">
        <f t="shared" si="2"/>
        <v>45601</v>
      </c>
      <c r="K16" s="431">
        <f t="shared" si="2"/>
        <v>45602</v>
      </c>
      <c r="L16" s="432">
        <f t="shared" si="2"/>
        <v>45603</v>
      </c>
      <c r="M16" s="432">
        <f t="shared" si="2"/>
        <v>45604</v>
      </c>
      <c r="N16" s="433">
        <f t="shared" si="2"/>
        <v>45605</v>
      </c>
      <c r="O16" s="434">
        <f t="shared" si="2"/>
        <v>45606</v>
      </c>
      <c r="P16" s="434">
        <f t="shared" si="2"/>
        <v>45607</v>
      </c>
      <c r="Q16" s="434">
        <f t="shared" si="2"/>
        <v>45608</v>
      </c>
      <c r="R16" s="434">
        <f t="shared" si="2"/>
        <v>45609</v>
      </c>
      <c r="S16" s="434">
        <f t="shared" si="2"/>
        <v>45610</v>
      </c>
      <c r="T16" s="434">
        <f t="shared" si="2"/>
        <v>45611</v>
      </c>
      <c r="U16" s="434">
        <f t="shared" si="2"/>
        <v>45612</v>
      </c>
      <c r="V16" s="434">
        <f t="shared" si="2"/>
        <v>45613</v>
      </c>
      <c r="W16" s="434">
        <f t="shared" si="2"/>
        <v>45614</v>
      </c>
      <c r="X16" s="434">
        <f t="shared" si="2"/>
        <v>45615</v>
      </c>
      <c r="Y16" s="434">
        <f t="shared" si="2"/>
        <v>45616</v>
      </c>
      <c r="Z16" s="434">
        <f t="shared" si="2"/>
        <v>45617</v>
      </c>
      <c r="AA16" s="434">
        <f t="shared" si="2"/>
        <v>45618</v>
      </c>
      <c r="AB16" s="434">
        <f t="shared" si="2"/>
        <v>45619</v>
      </c>
      <c r="AC16" s="434">
        <f t="shared" si="2"/>
        <v>45620</v>
      </c>
      <c r="AD16" s="434">
        <f t="shared" si="2"/>
        <v>45621</v>
      </c>
      <c r="AE16" s="434">
        <f t="shared" si="2"/>
        <v>45622</v>
      </c>
      <c r="AF16" s="435">
        <f t="shared" si="2"/>
        <v>45623</v>
      </c>
      <c r="AG16" s="435">
        <f t="shared" si="2"/>
        <v>45624</v>
      </c>
      <c r="AH16" s="435">
        <f t="shared" si="2"/>
        <v>45625</v>
      </c>
      <c r="AI16" s="435">
        <f t="shared" si="2"/>
        <v>45626</v>
      </c>
      <c r="AJ16" s="436">
        <f t="shared" si="2"/>
        <v>45627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44</v>
      </c>
      <c r="G17" s="207">
        <f t="shared" ref="G17:AJ17" si="3">WEEKNUM(G$16,21)</f>
        <v>44</v>
      </c>
      <c r="H17" s="207">
        <f t="shared" si="3"/>
        <v>44</v>
      </c>
      <c r="I17" s="207">
        <f t="shared" si="3"/>
        <v>45</v>
      </c>
      <c r="J17" s="207">
        <f t="shared" si="3"/>
        <v>45</v>
      </c>
      <c r="K17" s="207">
        <f t="shared" si="3"/>
        <v>45</v>
      </c>
      <c r="L17" s="207">
        <f t="shared" si="3"/>
        <v>45</v>
      </c>
      <c r="M17" s="207">
        <f t="shared" si="3"/>
        <v>45</v>
      </c>
      <c r="N17" s="207">
        <f t="shared" si="3"/>
        <v>45</v>
      </c>
      <c r="O17" s="207">
        <f t="shared" si="3"/>
        <v>45</v>
      </c>
      <c r="P17" s="207">
        <f t="shared" si="3"/>
        <v>46</v>
      </c>
      <c r="Q17" s="207">
        <f t="shared" si="3"/>
        <v>46</v>
      </c>
      <c r="R17" s="207">
        <f t="shared" si="3"/>
        <v>46</v>
      </c>
      <c r="S17" s="207">
        <f t="shared" si="3"/>
        <v>46</v>
      </c>
      <c r="T17" s="207">
        <f t="shared" si="3"/>
        <v>46</v>
      </c>
      <c r="U17" s="207">
        <f t="shared" si="3"/>
        <v>46</v>
      </c>
      <c r="V17" s="207">
        <f t="shared" si="3"/>
        <v>46</v>
      </c>
      <c r="W17" s="207">
        <f t="shared" si="3"/>
        <v>47</v>
      </c>
      <c r="X17" s="207">
        <f t="shared" si="3"/>
        <v>47</v>
      </c>
      <c r="Y17" s="207">
        <f t="shared" si="3"/>
        <v>47</v>
      </c>
      <c r="Z17" s="207">
        <f t="shared" si="3"/>
        <v>47</v>
      </c>
      <c r="AA17" s="207">
        <f t="shared" si="3"/>
        <v>47</v>
      </c>
      <c r="AB17" s="207">
        <f t="shared" si="3"/>
        <v>47</v>
      </c>
      <c r="AC17" s="207">
        <f t="shared" si="3"/>
        <v>47</v>
      </c>
      <c r="AD17" s="207">
        <f t="shared" si="3"/>
        <v>48</v>
      </c>
      <c r="AE17" s="207">
        <f t="shared" si="3"/>
        <v>48</v>
      </c>
      <c r="AF17" s="207">
        <f t="shared" si="3"/>
        <v>48</v>
      </c>
      <c r="AG17" s="207">
        <f t="shared" si="3"/>
        <v>48</v>
      </c>
      <c r="AH17" s="207">
        <f t="shared" si="3"/>
        <v>48</v>
      </c>
      <c r="AI17" s="207">
        <f t="shared" si="3"/>
        <v>48</v>
      </c>
      <c r="AJ17" s="208">
        <f t="shared" si="3"/>
        <v>48</v>
      </c>
      <c r="AK17" s="407"/>
      <c r="AL17" s="115" cm="1">
        <f t="array" ref="AL17">SUM(IF(FREQUENCY(F17:AJ17,F17:AJ17)&gt;0,1))</f>
        <v>5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45597</v>
      </c>
      <c r="G18" s="28">
        <f t="shared" ref="G18:AJ18" si="4">IF(G14,G16,0)</f>
        <v>45598</v>
      </c>
      <c r="H18" s="27">
        <f t="shared" si="4"/>
        <v>45599</v>
      </c>
      <c r="I18" s="27">
        <f t="shared" si="4"/>
        <v>45600</v>
      </c>
      <c r="J18" s="27">
        <f t="shared" si="4"/>
        <v>45601</v>
      </c>
      <c r="K18" s="27">
        <f t="shared" si="4"/>
        <v>45602</v>
      </c>
      <c r="L18" s="27">
        <f t="shared" si="4"/>
        <v>45603</v>
      </c>
      <c r="M18" s="27">
        <f t="shared" si="4"/>
        <v>45604</v>
      </c>
      <c r="N18" s="27">
        <f t="shared" si="4"/>
        <v>45605</v>
      </c>
      <c r="O18" s="27">
        <f t="shared" si="4"/>
        <v>45606</v>
      </c>
      <c r="P18" s="27">
        <f t="shared" si="4"/>
        <v>45607</v>
      </c>
      <c r="Q18" s="27">
        <f t="shared" si="4"/>
        <v>45608</v>
      </c>
      <c r="R18" s="27">
        <f t="shared" si="4"/>
        <v>45609</v>
      </c>
      <c r="S18" s="27">
        <f t="shared" si="4"/>
        <v>45610</v>
      </c>
      <c r="T18" s="27">
        <f t="shared" si="4"/>
        <v>45611</v>
      </c>
      <c r="U18" s="27">
        <f t="shared" si="4"/>
        <v>45612</v>
      </c>
      <c r="V18" s="27">
        <f t="shared" si="4"/>
        <v>45613</v>
      </c>
      <c r="W18" s="27">
        <f t="shared" si="4"/>
        <v>45614</v>
      </c>
      <c r="X18" s="27">
        <f t="shared" si="4"/>
        <v>45615</v>
      </c>
      <c r="Y18" s="27">
        <f t="shared" si="4"/>
        <v>45616</v>
      </c>
      <c r="Z18" s="27">
        <f t="shared" si="4"/>
        <v>45617</v>
      </c>
      <c r="AA18" s="27">
        <f t="shared" si="4"/>
        <v>45618</v>
      </c>
      <c r="AB18" s="27">
        <f t="shared" si="4"/>
        <v>45619</v>
      </c>
      <c r="AC18" s="27">
        <f t="shared" si="4"/>
        <v>45620</v>
      </c>
      <c r="AD18" s="27">
        <f t="shared" si="4"/>
        <v>45621</v>
      </c>
      <c r="AE18" s="27">
        <f t="shared" si="4"/>
        <v>45622</v>
      </c>
      <c r="AF18" s="27">
        <f t="shared" si="4"/>
        <v>45623</v>
      </c>
      <c r="AG18" s="27">
        <f t="shared" si="4"/>
        <v>45624</v>
      </c>
      <c r="AH18" s="27">
        <f t="shared" si="4"/>
        <v>45625</v>
      </c>
      <c r="AI18" s="202">
        <f t="shared" si="4"/>
        <v>45626</v>
      </c>
      <c r="AJ18" s="202">
        <f t="shared" si="4"/>
        <v>0</v>
      </c>
      <c r="AK18" s="408"/>
      <c r="AL18" s="116">
        <f>_xlfn.DAYS(EOMONTH($F$18,0),$F$18)+1</f>
        <v>30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Fr</v>
      </c>
      <c r="G19" s="93" t="str">
        <f>IF(G14=1,TEXT(G$18,H_Label!$B$24&amp;"TTT"),0)</f>
        <v>Sa</v>
      </c>
      <c r="H19" s="93" t="str">
        <f>IF(H14=1,TEXT(H$18,H_Label!$B$24&amp;"TTT"),0)</f>
        <v>So</v>
      </c>
      <c r="I19" s="93" t="str">
        <f>IF(I14=1,TEXT(I$18,H_Label!$B$24&amp;"TTT"),0)</f>
        <v>Mo</v>
      </c>
      <c r="J19" s="93" t="str">
        <f>IF(J14=1,TEXT(J$18,H_Label!$B$24&amp;"TTT"),0)</f>
        <v>Di</v>
      </c>
      <c r="K19" s="93" t="str">
        <f>IF(K14=1,TEXT(K$18,H_Label!$B$24&amp;"TTT"),0)</f>
        <v>Mi</v>
      </c>
      <c r="L19" s="93" t="str">
        <f>IF(L14=1,TEXT(L$18,H_Label!$B$24&amp;"TTT"),0)</f>
        <v>Do</v>
      </c>
      <c r="M19" s="93" t="str">
        <f>IF(M14=1,TEXT(M$18,H_Label!$B$24&amp;"TTT"),0)</f>
        <v>Fr</v>
      </c>
      <c r="N19" s="93" t="str">
        <f>IF(N14=1,TEXT(N$18,H_Label!$B$24&amp;"TTT"),0)</f>
        <v>Sa</v>
      </c>
      <c r="O19" s="93" t="str">
        <f>IF(O14=1,TEXT(O$18,H_Label!$B$24&amp;"TTT"),0)</f>
        <v>So</v>
      </c>
      <c r="P19" s="93" t="str">
        <f>IF(P14=1,TEXT(P$18,H_Label!$B$24&amp;"TTT"),0)</f>
        <v>Mo</v>
      </c>
      <c r="Q19" s="93" t="str">
        <f>IF(Q14=1,TEXT(Q$18,H_Label!$B$24&amp;"TTT"),0)</f>
        <v>Di</v>
      </c>
      <c r="R19" s="93" t="str">
        <f>IF(R14=1,TEXT(R$18,H_Label!$B$24&amp;"TTT"),0)</f>
        <v>Mi</v>
      </c>
      <c r="S19" s="93" t="str">
        <f>IF(S14=1,TEXT(S$18,H_Label!$B$24&amp;"TTT"),0)</f>
        <v>Do</v>
      </c>
      <c r="T19" s="93" t="str">
        <f>IF(T14=1,TEXT(T$18,H_Label!$B$24&amp;"TTT"),0)</f>
        <v>Fr</v>
      </c>
      <c r="U19" s="93" t="str">
        <f>IF(U14=1,TEXT(U$18,H_Label!$B$24&amp;"TTT"),0)</f>
        <v>Sa</v>
      </c>
      <c r="V19" s="93" t="str">
        <f>IF(V14=1,TEXT(V$18,H_Label!$B$24&amp;"TTT"),0)</f>
        <v>So</v>
      </c>
      <c r="W19" s="93" t="str">
        <f>IF(W14=1,TEXT(W$18,H_Label!$B$24&amp;"TTT"),0)</f>
        <v>Mo</v>
      </c>
      <c r="X19" s="93" t="str">
        <f>IF(X14=1,TEXT(X$18,H_Label!$B$24&amp;"TTT"),0)</f>
        <v>Di</v>
      </c>
      <c r="Y19" s="93" t="str">
        <f>IF(Y14=1,TEXT(Y$18,H_Label!$B$24&amp;"TTT"),0)</f>
        <v>Mi</v>
      </c>
      <c r="Z19" s="93" t="str">
        <f>IF(Z14=1,TEXT(Z$18,H_Label!$B$24&amp;"TTT"),0)</f>
        <v>Do</v>
      </c>
      <c r="AA19" s="93" t="str">
        <f>IF(AA14=1,TEXT(AA$18,H_Label!$B$24&amp;"TTT"),0)</f>
        <v>Fr</v>
      </c>
      <c r="AB19" s="93" t="str">
        <f>IF(AB14=1,TEXT(AB$18,H_Label!$B$24&amp;"TTT"),0)</f>
        <v>Sa</v>
      </c>
      <c r="AC19" s="93" t="str">
        <f>IF(AC14=1,TEXT(AC$18,H_Label!$B$24&amp;"TTT"),0)</f>
        <v>So</v>
      </c>
      <c r="AD19" s="93" t="str">
        <f>IF(AD14=1,TEXT(AD$18,H_Label!$B$24&amp;"TTT"),0)</f>
        <v>Mo</v>
      </c>
      <c r="AE19" s="93" t="str">
        <f>IF(AE14=1,TEXT(AE$18,H_Label!$B$24&amp;"TTT"),0)</f>
        <v>Di</v>
      </c>
      <c r="AF19" s="93" t="str">
        <f>IF(AF14=1,TEXT(AF$18,H_Label!$B$24&amp;"TTT"),0)</f>
        <v>Mi</v>
      </c>
      <c r="AG19" s="93" t="str">
        <f>IF(AG14=1,TEXT(AG$18,H_Label!$B$24&amp;"TTT"),0)</f>
        <v>Do</v>
      </c>
      <c r="AH19" s="93" t="str">
        <f>IF(AH14=1,TEXT(AH$18,H_Label!$B$24&amp;"TTT"),0)</f>
        <v>Fr</v>
      </c>
      <c r="AI19" s="93" t="str">
        <f>IF(AI14=1,TEXT(AI$18,H_Label!$B$24&amp;"TTT"),0)</f>
        <v>Sa</v>
      </c>
      <c r="AJ19" s="93">
        <f>IF(AJ14=1,TEXT(AJ$18,H_Label!$B$24&amp;"TTT"),0)</f>
        <v>0</v>
      </c>
      <c r="AK19" s="409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8</v>
      </c>
      <c r="G20" s="26" cm="1">
        <f t="array" ref="G20">IF(OR(G14=0,G51="x"),0,A_fldSollTagStd*SUMPRODUCT((H_tblBGTage=WEEKDAY(G16,2))*(H_tblBGMnt=M_Monat)*H_tblBG%))</f>
        <v>0</v>
      </c>
      <c r="H20" s="26" cm="1">
        <f t="array" ref="H20">IF(OR(H14=0,H51="x"),0,A_fldSollTagStd*SUMPRODUCT((H_tblBGTage=WEEKDAY(H16,2))*(H_tblBGMnt=M_Monat)*H_tblBG%))</f>
        <v>0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8</v>
      </c>
      <c r="M20" s="26" cm="1">
        <f t="array" ref="M20">IF(OR(M14=0,M51="x"),0,A_fldSollTagStd*SUMPRODUCT((H_tblBGTage=WEEKDAY(M16,2))*(H_tblBGMnt=M_Monat)*H_tblBG%))</f>
        <v>8</v>
      </c>
      <c r="N20" s="26" cm="1">
        <f t="array" ref="N20">IF(OR(N14=0,N51="x"),0,A_fldSollTagStd*SUMPRODUCT((H_tblBGTage=WEEKDAY(N16,2))*(H_tblBGMnt=M_Monat)*H_tblBG%))</f>
        <v>0</v>
      </c>
      <c r="O20" s="26" cm="1">
        <f t="array" ref="O20">IF(OR(O14=0,O51="x"),0,A_fldSollTagStd*SUMPRODUCT((H_tblBGTage=WEEKDAY(O16,2))*(H_tblBGMnt=M_Monat)*H_tblBG%))</f>
        <v>0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8</v>
      </c>
      <c r="T20" s="26" cm="1">
        <f t="array" ref="T20">IF(OR(T14=0,T51="x"),0,A_fldSollTagStd*SUMPRODUCT((H_tblBGTage=WEEKDAY(T16,2))*(H_tblBGMnt=M_Monat)*H_tblBG%))</f>
        <v>8</v>
      </c>
      <c r="U20" s="26" cm="1">
        <f t="array" ref="U20">IF(OR(U14=0,U51="x"),0,A_fldSollTagStd*SUMPRODUCT((H_tblBGTage=WEEKDAY(U16,2))*(H_tblBGMnt=M_Monat)*H_tblBG%))</f>
        <v>0</v>
      </c>
      <c r="V20" s="26" cm="1">
        <f t="array" ref="V20">IF(OR(V14=0,V51="x"),0,A_fldSollTagStd*SUMPRODUCT((H_tblBGTage=WEEKDAY(V16,2))*(H_tblBGMnt=M_Monat)*H_tblBG%))</f>
        <v>0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8</v>
      </c>
      <c r="AA20" s="26" cm="1">
        <f t="array" ref="AA20">IF(OR(AA14=0,AA51="x"),0,A_fldSollTagStd*SUMPRODUCT((H_tblBGTage=WEEKDAY(AA16,2))*(H_tblBGMnt=M_Monat)*H_tblBG%))</f>
        <v>8</v>
      </c>
      <c r="AB20" s="26" cm="1">
        <f t="array" ref="AB20">IF(OR(AB14=0,AB51="x"),0,A_fldSollTagStd*SUMPRODUCT((H_tblBGTage=WEEKDAY(AB16,2))*(H_tblBGMnt=M_Monat)*H_tblBG%))</f>
        <v>0</v>
      </c>
      <c r="AC20" s="26" cm="1">
        <f t="array" ref="AC20">IF(OR(AC14=0,AC51="x"),0,A_fldSollTagStd*SUMPRODUCT((H_tblBGTage=WEEKDAY(AC16,2))*(H_tblBGMnt=M_Monat)*H_tblBG%))</f>
        <v>0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8</v>
      </c>
      <c r="AH20" s="26" cm="1">
        <f t="array" ref="AH20">IF(OR(AH14=0,AH51="x"),0,A_fldSollTagStd*SUMPRODUCT((H_tblBGTage=WEEKDAY(AH16,2))*(H_tblBGMnt=M_Monat)*H_tblBG%))</f>
        <v>8</v>
      </c>
      <c r="AI20" s="203" cm="1">
        <f t="array" ref="AI20">IF(OR(AI14=0,AI51="x"),0,A_fldSollTagStd*SUMPRODUCT((H_tblBGTage=WEEKDAY(AI16,2))*(H_tblBGMnt=M_Monat)*H_tblBG%))</f>
        <v>0</v>
      </c>
      <c r="AJ20" s="203" cm="1">
        <f t="array" ref="AJ20">IF(OR(AJ14=0,AJ51="x"),0,A_fldSollTagStd*SUMPRODUCT((H_tblBGTage=WEEKDAY(AJ16,2))*(H_tblBGMnt=M_Monat)*H_tblBG%))</f>
        <v>0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21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eaJB1JaY2rjwpByf1aH5bnKYQ7DP1rgJNG+eF6GBb+5js+xKYA/RjJiP2RQF967nkbnpQBYhBKcgAca/pnUg9g==" saltValue="NLQ9WEpR2mgji/qD0ovgV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6 F29:AJ29 F31:AJ32 F34:AJ48 F50:AJ51">
    <cfRule type="expression" dxfId="39" priority="17">
      <formula>F$21="ft"</formula>
    </cfRule>
  </conditionalFormatting>
  <conditionalFormatting sqref="F18:AJ21 F23:AJ27 F29:AJ32 F34:AJ48 F50:AJ51">
    <cfRule type="expression" dxfId="38" priority="8">
      <formula>AND(F$14=0,$B18=0)</formula>
    </cfRule>
  </conditionalFormatting>
  <conditionalFormatting sqref="F26:AJ27 F30:AJ30">
    <cfRule type="expression" dxfId="37" priority="10">
      <formula>OR(WEEKDAY(F$16,2)=7,F$15=2)</formula>
    </cfRule>
  </conditionalFormatting>
  <conditionalFormatting sqref="F34:AJ48 F50:AJ51 F18:AJ21 F23:AJ26 F29:AJ29 F31:AJ32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0:AJ51">
    <cfRule type="containsText" dxfId="34" priority="11" operator="containsText" text="x">
      <formula>NOT(ISERROR(SEARCH("x",F50)))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2" priority="2">
      <formula>H_fldFerienEndSaldo&lt;0</formula>
    </cfRule>
  </conditionalFormatting>
  <conditionalFormatting sqref="AG18:AJ21 AG23:AJ27 AG29:AJ32 AG34:AJ48 AG50:AJ51">
    <cfRule type="expression" dxfId="31" priority="6">
      <formula>AND(AG$14=0,$B18&lt;&gt;0)</formula>
    </cfRule>
    <cfRule type="expression" dxfId="30" priority="7">
      <formula>AG$15=2</formula>
    </cfRule>
  </conditionalFormatting>
  <conditionalFormatting sqref="AJ17:AJ21 AJ23:AJ27 AJ29:AJ32 AJ34:AJ48 AJ50:AJ51">
    <cfRule type="expression" dxfId="2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42B1250E-3889-4ED7-8E44-C13E5EE8CBF2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DA1CBA92-9DEA-4C99-ADBD-4482E8395FDE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755C3B50-21FE-478F-B0F0-89D73AB2942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40413F7F-2A59-45A2-BC9D-701B0AD2AD08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2F6BD5ED-6651-4E68-92D3-C130F12F36CF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67C4A1FE-2210-4927-A49E-E0CA7FEBA15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C5564EA-6130-4050-A3EA-3480E065131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36E8F0FB-9E9A-44ED-AD13-8300E0B1811A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3D4F4C26-3604-403F-AD57-1684F9F5A68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EDCF1155-7D1B-4A06-A299-9C31D6192C2A}">
      <formula1>-4000</formula1>
    </dataValidation>
  </dataValidations>
  <hyperlinks>
    <hyperlink ref="AJ12" location="Jahresauswertung!H3" display="." xr:uid="{D2530009-8E76-429D-8155-25AB9CAEB817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705165-423F-4059-A88C-4137599149BB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5EEB7A8A-75B1-4839-BF49-DF4866408D4A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67F1-B533-45E3-BCC8-10F41FFB5DAE}">
  <sheetPr codeName="m12dez">
    <tabColor theme="6" tint="0.59999389629810485"/>
    <pageSetUpPr fitToPage="1"/>
  </sheetPr>
  <dimension ref="A2:AT77"/>
  <sheetViews>
    <sheetView showGridLines="0" showZeros="0" zoomScaleNormal="100" zoomScaleSheetLayoutView="100" workbookViewId="0">
      <pane ySplit="5" topLeftCell="A6" activePane="bottomLeft" state="frozen"/>
      <selection activeCell="N44" sqref="N44:U45"/>
      <selection pane="bottomLeft" activeCell="F23" sqref="F23"/>
    </sheetView>
  </sheetViews>
  <sheetFormatPr baseColWidth="10" defaultColWidth="10.85546875" defaultRowHeight="12.95" customHeight="1" x14ac:dyDescent="0.25"/>
  <cols>
    <col min="1" max="1" width="2.85546875" style="254" hidden="1" customWidth="1"/>
    <col min="2" max="2" width="2.85546875" style="445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customWidth="1"/>
    <col min="47" max="74" width="4.140625" style="5" customWidth="1"/>
    <col min="75" max="16384" width="10.85546875" style="5"/>
  </cols>
  <sheetData>
    <row r="2" spans="1:46" ht="13.5" customHeight="1" x14ac:dyDescent="0.25">
      <c r="D2" s="776" t="str">
        <f>H_Label!$B$31</f>
        <v>Info</v>
      </c>
      <c r="E2" s="357"/>
      <c r="AF2" s="152"/>
      <c r="AG2" s="152"/>
      <c r="AH2" s="152"/>
      <c r="AI2" s="152"/>
      <c r="AJ2" s="152"/>
    </row>
    <row r="3" spans="1:46" ht="15.6" customHeight="1" x14ac:dyDescent="0.3">
      <c r="D3" s="776"/>
      <c r="F3" s="559" t="str">
        <f>H_Label!B32</f>
        <v>Stunden Vorjahr</v>
      </c>
      <c r="G3" s="560"/>
      <c r="H3" s="560"/>
      <c r="I3" s="560"/>
      <c r="J3" s="775" t="str">
        <f>TEXT(Jahresauswertung!$X$30,"0.00")&amp;" / "&amp;TEXT(B_fldSaldoVJ,"0.00")</f>
        <v>0.00 / 0.00</v>
      </c>
      <c r="K3" s="775"/>
      <c r="L3" s="775"/>
      <c r="M3" s="561"/>
      <c r="N3" s="561"/>
      <c r="O3" s="559" t="str">
        <f>H_Label!B33</f>
        <v>Stundensaldo laufend</v>
      </c>
      <c r="P3" s="560"/>
      <c r="Q3" s="560"/>
      <c r="R3" s="560"/>
      <c r="S3" s="560"/>
      <c r="T3" s="794">
        <f>Jahresauswertung!$AD$39</f>
        <v>-2096</v>
      </c>
      <c r="U3" s="794"/>
      <c r="V3" s="794"/>
      <c r="W3" s="561"/>
      <c r="X3" s="561"/>
      <c r="Y3" s="559" t="str">
        <f>H_Label!B34</f>
        <v>Feriensaldo</v>
      </c>
      <c r="Z3" s="560"/>
      <c r="AA3" s="560"/>
      <c r="AB3" s="775" t="str">
        <f ca="1">TEXT(H_fldFerienEndSaldo,"0.00")&amp;" / "&amp;TEXT(H_fldFerienSaldoKORR,"0.00")</f>
        <v>176.00 / 176.00</v>
      </c>
      <c r="AC3" s="775"/>
      <c r="AD3" s="775"/>
      <c r="AF3" s="152"/>
      <c r="AG3" s="152"/>
      <c r="AH3" s="152"/>
      <c r="AI3" s="152"/>
      <c r="AJ3" s="152"/>
    </row>
    <row r="4" spans="1:46" ht="13.5" customHeight="1" x14ac:dyDescent="0.25">
      <c r="D4" s="776"/>
      <c r="E4" s="357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6" t="str">
        <f>H_Label!B37</f>
        <v>effektiver BG</v>
      </c>
      <c r="AH5" s="536"/>
      <c r="AI5" s="793">
        <f>AN51</f>
        <v>1</v>
      </c>
      <c r="AJ5" s="793"/>
      <c r="AK5" s="397"/>
    </row>
    <row r="6" spans="1:46" ht="27.95" customHeight="1" x14ac:dyDescent="0.25">
      <c r="D6" s="178" t="str">
        <f>H_Label!$B$221 &amp;" "&amp;TEXT(Basisblatt!$U$1,"JJJJ")</f>
        <v>A r b e i t s z e i t k o n t r o l l e  2024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791" t="str">
        <f>Basisblatt!$G$3</f>
        <v>Maler Muster GmbH</v>
      </c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2"/>
      <c r="AK6" s="398"/>
      <c r="AM6" s="336"/>
      <c r="AN6" s="336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783" t="str">
        <f>Basisblatt!$G$6</f>
        <v>Maximilian Muster</v>
      </c>
      <c r="G8" s="784"/>
      <c r="H8" s="784"/>
      <c r="I8" s="784"/>
      <c r="J8" s="784"/>
      <c r="K8" s="78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9"/>
      <c r="AL8" s="335"/>
      <c r="AM8" s="2"/>
      <c r="AN8" s="2"/>
    </row>
    <row r="9" spans="1:46" ht="16.5" customHeight="1" x14ac:dyDescent="0.25">
      <c r="D9" s="29" t="str">
        <f>H_Label!$B$223</f>
        <v>Anstellung %</v>
      </c>
      <c r="E9" s="382"/>
      <c r="F9" s="786" cm="1">
        <f t="array" ref="F9">SUMPRODUCT((H_tblBGMnt=M_Monat)*H_tblBGavg)</f>
        <v>100</v>
      </c>
      <c r="G9" s="787"/>
      <c r="H9" s="788" t="str">
        <f>H_Label!B224&amp;" "&amp;D12</f>
        <v>im Dezember</v>
      </c>
      <c r="I9" s="789"/>
      <c r="J9" s="789"/>
      <c r="K9" s="790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7"/>
    </row>
    <row r="10" spans="1:46" ht="16.5" customHeight="1" x14ac:dyDescent="0.25">
      <c r="D10" s="90" t="str">
        <f>H_Label!$B$225</f>
        <v>Saldo für das Jahr</v>
      </c>
      <c r="E10" s="90"/>
      <c r="F10" s="762">
        <f>DATE(A_Jahr,AM13,1)</f>
        <v>45627</v>
      </c>
      <c r="G10" s="763"/>
      <c r="H10" s="764">
        <f>Jahresauswertung!AF38</f>
        <v>-2096</v>
      </c>
      <c r="I10" s="765"/>
      <c r="J10" s="765"/>
      <c r="K10" s="766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774" t="s">
        <v>509</v>
      </c>
      <c r="D12" s="503" t="str">
        <f>TEXT($F$10,"MMMM"&amp;H_Label!$B$23)</f>
        <v>Dezember</v>
      </c>
      <c r="E12" s="383"/>
      <c r="F12" s="767" t="str">
        <f>H_Label!B231</f>
        <v>Saldo Monat + / -</v>
      </c>
      <c r="G12" s="768"/>
      <c r="H12" s="768"/>
      <c r="I12" s="769"/>
      <c r="J12" s="770" cm="1">
        <f t="array" ref="J12">INDEX(H_dMNTCurrentSaldo,1,M_Monat)</f>
        <v>-176</v>
      </c>
      <c r="K12" s="771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81" t="s">
        <v>296</v>
      </c>
      <c r="AK12" s="400"/>
    </row>
    <row r="13" spans="1:46" s="246" customFormat="1" ht="13.5" hidden="1" x14ac:dyDescent="0.25">
      <c r="A13" s="254"/>
      <c r="B13" s="774"/>
      <c r="C13" s="254"/>
      <c r="D13" s="439" t="s">
        <v>507</v>
      </c>
      <c r="E13" s="384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401"/>
      <c r="AL13" s="297" t="s">
        <v>87</v>
      </c>
      <c r="AM13" s="298">
        <v>12</v>
      </c>
      <c r="AN13" s="494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774"/>
      <c r="C14" s="254"/>
      <c r="D14" s="440" t="s">
        <v>508</v>
      </c>
      <c r="E14" s="414">
        <v>1</v>
      </c>
      <c r="F14" s="414">
        <f>IF(MONTH($F$16)=MONTH(F$16),1,0)</f>
        <v>1</v>
      </c>
      <c r="G14" s="415">
        <f t="shared" ref="G14:AJ14" si="0">IF(MONTH($F$16)=MONTH(G$16),1,0)</f>
        <v>1</v>
      </c>
      <c r="H14" s="415">
        <f t="shared" si="0"/>
        <v>1</v>
      </c>
      <c r="I14" s="415">
        <f t="shared" si="0"/>
        <v>1</v>
      </c>
      <c r="J14" s="415">
        <f t="shared" si="0"/>
        <v>1</v>
      </c>
      <c r="K14" s="415">
        <f t="shared" si="0"/>
        <v>1</v>
      </c>
      <c r="L14" s="416">
        <f t="shared" si="0"/>
        <v>1</v>
      </c>
      <c r="M14" s="416">
        <f t="shared" si="0"/>
        <v>1</v>
      </c>
      <c r="N14" s="417">
        <f t="shared" si="0"/>
        <v>1</v>
      </c>
      <c r="O14" s="418">
        <f t="shared" si="0"/>
        <v>1</v>
      </c>
      <c r="P14" s="418">
        <f t="shared" si="0"/>
        <v>1</v>
      </c>
      <c r="Q14" s="418">
        <f t="shared" si="0"/>
        <v>1</v>
      </c>
      <c r="R14" s="418">
        <f t="shared" si="0"/>
        <v>1</v>
      </c>
      <c r="S14" s="418">
        <f t="shared" si="0"/>
        <v>1</v>
      </c>
      <c r="T14" s="418">
        <f t="shared" si="0"/>
        <v>1</v>
      </c>
      <c r="U14" s="418">
        <f t="shared" si="0"/>
        <v>1</v>
      </c>
      <c r="V14" s="418">
        <f t="shared" si="0"/>
        <v>1</v>
      </c>
      <c r="W14" s="418">
        <f t="shared" si="0"/>
        <v>1</v>
      </c>
      <c r="X14" s="418">
        <f t="shared" si="0"/>
        <v>1</v>
      </c>
      <c r="Y14" s="418">
        <f t="shared" si="0"/>
        <v>1</v>
      </c>
      <c r="Z14" s="418">
        <f t="shared" si="0"/>
        <v>1</v>
      </c>
      <c r="AA14" s="418">
        <f t="shared" si="0"/>
        <v>1</v>
      </c>
      <c r="AB14" s="418">
        <f t="shared" si="0"/>
        <v>1</v>
      </c>
      <c r="AC14" s="418">
        <f t="shared" si="0"/>
        <v>1</v>
      </c>
      <c r="AD14" s="418">
        <f t="shared" si="0"/>
        <v>1</v>
      </c>
      <c r="AE14" s="418">
        <f t="shared" si="0"/>
        <v>1</v>
      </c>
      <c r="AF14" s="419">
        <f t="shared" si="0"/>
        <v>1</v>
      </c>
      <c r="AG14" s="419">
        <f t="shared" si="0"/>
        <v>1</v>
      </c>
      <c r="AH14" s="419">
        <f t="shared" si="0"/>
        <v>1</v>
      </c>
      <c r="AI14" s="419">
        <f t="shared" si="0"/>
        <v>1</v>
      </c>
      <c r="AJ14" s="420">
        <f t="shared" si="0"/>
        <v>1</v>
      </c>
      <c r="AK14" s="421">
        <v>0</v>
      </c>
      <c r="AL14" s="297"/>
      <c r="AM14" s="298"/>
      <c r="AN14" s="494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774"/>
      <c r="C15" s="254"/>
      <c r="D15" s="440" t="s">
        <v>503</v>
      </c>
      <c r="E15" s="422"/>
      <c r="F15" s="422">
        <f>SUM(E$14:G$14)</f>
        <v>3</v>
      </c>
      <c r="G15" s="423">
        <f>SUM(F$14:H$14)</f>
        <v>3</v>
      </c>
      <c r="H15" s="423">
        <f t="shared" ref="H15:AJ15" si="1">SUM(G$14:I$14)</f>
        <v>3</v>
      </c>
      <c r="I15" s="423">
        <f t="shared" si="1"/>
        <v>3</v>
      </c>
      <c r="J15" s="423">
        <f t="shared" si="1"/>
        <v>3</v>
      </c>
      <c r="K15" s="423">
        <f t="shared" si="1"/>
        <v>3</v>
      </c>
      <c r="L15" s="424">
        <f t="shared" si="1"/>
        <v>3</v>
      </c>
      <c r="M15" s="424">
        <f t="shared" si="1"/>
        <v>3</v>
      </c>
      <c r="N15" s="425">
        <f t="shared" si="1"/>
        <v>3</v>
      </c>
      <c r="O15" s="426">
        <f t="shared" si="1"/>
        <v>3</v>
      </c>
      <c r="P15" s="426">
        <f t="shared" si="1"/>
        <v>3</v>
      </c>
      <c r="Q15" s="426">
        <f t="shared" si="1"/>
        <v>3</v>
      </c>
      <c r="R15" s="426">
        <f t="shared" si="1"/>
        <v>3</v>
      </c>
      <c r="S15" s="426">
        <f t="shared" si="1"/>
        <v>3</v>
      </c>
      <c r="T15" s="426">
        <f t="shared" si="1"/>
        <v>3</v>
      </c>
      <c r="U15" s="426">
        <f t="shared" si="1"/>
        <v>3</v>
      </c>
      <c r="V15" s="426">
        <f t="shared" si="1"/>
        <v>3</v>
      </c>
      <c r="W15" s="426">
        <f t="shared" si="1"/>
        <v>3</v>
      </c>
      <c r="X15" s="426">
        <f t="shared" si="1"/>
        <v>3</v>
      </c>
      <c r="Y15" s="426">
        <f t="shared" si="1"/>
        <v>3</v>
      </c>
      <c r="Z15" s="426">
        <f t="shared" si="1"/>
        <v>3</v>
      </c>
      <c r="AA15" s="426">
        <f t="shared" si="1"/>
        <v>3</v>
      </c>
      <c r="AB15" s="426">
        <f t="shared" si="1"/>
        <v>3</v>
      </c>
      <c r="AC15" s="426">
        <f t="shared" si="1"/>
        <v>3</v>
      </c>
      <c r="AD15" s="426">
        <f t="shared" si="1"/>
        <v>3</v>
      </c>
      <c r="AE15" s="426">
        <f t="shared" si="1"/>
        <v>3</v>
      </c>
      <c r="AF15" s="427">
        <f t="shared" si="1"/>
        <v>3</v>
      </c>
      <c r="AG15" s="427">
        <f t="shared" si="1"/>
        <v>3</v>
      </c>
      <c r="AH15" s="427">
        <f t="shared" si="1"/>
        <v>3</v>
      </c>
      <c r="AI15" s="427">
        <f t="shared" si="1"/>
        <v>3</v>
      </c>
      <c r="AJ15" s="428">
        <f t="shared" si="1"/>
        <v>2</v>
      </c>
      <c r="AK15" s="429" t="s">
        <v>201</v>
      </c>
      <c r="AL15" s="297"/>
      <c r="AM15" s="298"/>
      <c r="AN15" s="494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5"/>
      <c r="C16" s="254"/>
      <c r="D16" s="441" t="s">
        <v>504</v>
      </c>
      <c r="E16" s="430"/>
      <c r="F16" s="438">
        <f>$F$10</f>
        <v>45627</v>
      </c>
      <c r="G16" s="431">
        <f>F$16+1</f>
        <v>45628</v>
      </c>
      <c r="H16" s="431">
        <f t="shared" ref="H16:AJ16" si="2">G$16+1</f>
        <v>45629</v>
      </c>
      <c r="I16" s="431">
        <f t="shared" si="2"/>
        <v>45630</v>
      </c>
      <c r="J16" s="431">
        <f t="shared" si="2"/>
        <v>45631</v>
      </c>
      <c r="K16" s="431">
        <f t="shared" si="2"/>
        <v>45632</v>
      </c>
      <c r="L16" s="432">
        <f t="shared" si="2"/>
        <v>45633</v>
      </c>
      <c r="M16" s="432">
        <f t="shared" si="2"/>
        <v>45634</v>
      </c>
      <c r="N16" s="433">
        <f t="shared" si="2"/>
        <v>45635</v>
      </c>
      <c r="O16" s="434">
        <f t="shared" si="2"/>
        <v>45636</v>
      </c>
      <c r="P16" s="434">
        <f t="shared" si="2"/>
        <v>45637</v>
      </c>
      <c r="Q16" s="434">
        <f t="shared" si="2"/>
        <v>45638</v>
      </c>
      <c r="R16" s="434">
        <f t="shared" si="2"/>
        <v>45639</v>
      </c>
      <c r="S16" s="434">
        <f t="shared" si="2"/>
        <v>45640</v>
      </c>
      <c r="T16" s="434">
        <f t="shared" si="2"/>
        <v>45641</v>
      </c>
      <c r="U16" s="434">
        <f t="shared" si="2"/>
        <v>45642</v>
      </c>
      <c r="V16" s="434">
        <f t="shared" si="2"/>
        <v>45643</v>
      </c>
      <c r="W16" s="434">
        <f t="shared" si="2"/>
        <v>45644</v>
      </c>
      <c r="X16" s="434">
        <f t="shared" si="2"/>
        <v>45645</v>
      </c>
      <c r="Y16" s="434">
        <f t="shared" si="2"/>
        <v>45646</v>
      </c>
      <c r="Z16" s="434">
        <f t="shared" si="2"/>
        <v>45647</v>
      </c>
      <c r="AA16" s="434">
        <f t="shared" si="2"/>
        <v>45648</v>
      </c>
      <c r="AB16" s="434">
        <f t="shared" si="2"/>
        <v>45649</v>
      </c>
      <c r="AC16" s="434">
        <f t="shared" si="2"/>
        <v>45650</v>
      </c>
      <c r="AD16" s="434">
        <f t="shared" si="2"/>
        <v>45651</v>
      </c>
      <c r="AE16" s="434">
        <f t="shared" si="2"/>
        <v>45652</v>
      </c>
      <c r="AF16" s="435">
        <f t="shared" si="2"/>
        <v>45653</v>
      </c>
      <c r="AG16" s="435">
        <f t="shared" si="2"/>
        <v>45654</v>
      </c>
      <c r="AH16" s="435">
        <f t="shared" si="2"/>
        <v>45655</v>
      </c>
      <c r="AI16" s="435">
        <f t="shared" si="2"/>
        <v>45656</v>
      </c>
      <c r="AJ16" s="436">
        <f t="shared" si="2"/>
        <v>45657</v>
      </c>
      <c r="AK16" s="437"/>
      <c r="AL16" s="297"/>
      <c r="AM16" s="298"/>
      <c r="AN16" s="494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5">
        <v>1</v>
      </c>
      <c r="C17" s="255"/>
      <c r="D17" s="19" t="str">
        <f>H_Label!$B$52</f>
        <v>Kalenderwoche</v>
      </c>
      <c r="E17" s="295"/>
      <c r="F17" s="209">
        <f>WEEKNUM(F$16,21)</f>
        <v>48</v>
      </c>
      <c r="G17" s="207">
        <f t="shared" ref="G17:AJ17" si="3">WEEKNUM(G$16,21)</f>
        <v>49</v>
      </c>
      <c r="H17" s="207">
        <f t="shared" si="3"/>
        <v>49</v>
      </c>
      <c r="I17" s="207">
        <f t="shared" si="3"/>
        <v>49</v>
      </c>
      <c r="J17" s="207">
        <f t="shared" si="3"/>
        <v>49</v>
      </c>
      <c r="K17" s="207">
        <f t="shared" si="3"/>
        <v>49</v>
      </c>
      <c r="L17" s="207">
        <f t="shared" si="3"/>
        <v>49</v>
      </c>
      <c r="M17" s="207">
        <f t="shared" si="3"/>
        <v>49</v>
      </c>
      <c r="N17" s="207">
        <f t="shared" si="3"/>
        <v>50</v>
      </c>
      <c r="O17" s="207">
        <f t="shared" si="3"/>
        <v>50</v>
      </c>
      <c r="P17" s="207">
        <f t="shared" si="3"/>
        <v>50</v>
      </c>
      <c r="Q17" s="207">
        <f t="shared" si="3"/>
        <v>50</v>
      </c>
      <c r="R17" s="207">
        <f t="shared" si="3"/>
        <v>50</v>
      </c>
      <c r="S17" s="207">
        <f t="shared" si="3"/>
        <v>50</v>
      </c>
      <c r="T17" s="207">
        <f t="shared" si="3"/>
        <v>50</v>
      </c>
      <c r="U17" s="207">
        <f t="shared" si="3"/>
        <v>51</v>
      </c>
      <c r="V17" s="207">
        <f t="shared" si="3"/>
        <v>51</v>
      </c>
      <c r="W17" s="207">
        <f t="shared" si="3"/>
        <v>51</v>
      </c>
      <c r="X17" s="207">
        <f t="shared" si="3"/>
        <v>51</v>
      </c>
      <c r="Y17" s="207">
        <f t="shared" si="3"/>
        <v>51</v>
      </c>
      <c r="Z17" s="207">
        <f t="shared" si="3"/>
        <v>51</v>
      </c>
      <c r="AA17" s="207">
        <f t="shared" si="3"/>
        <v>51</v>
      </c>
      <c r="AB17" s="207">
        <f t="shared" si="3"/>
        <v>52</v>
      </c>
      <c r="AC17" s="207">
        <f t="shared" si="3"/>
        <v>52</v>
      </c>
      <c r="AD17" s="207">
        <f t="shared" si="3"/>
        <v>52</v>
      </c>
      <c r="AE17" s="207">
        <f t="shared" si="3"/>
        <v>52</v>
      </c>
      <c r="AF17" s="207">
        <f t="shared" si="3"/>
        <v>52</v>
      </c>
      <c r="AG17" s="207">
        <f t="shared" si="3"/>
        <v>52</v>
      </c>
      <c r="AH17" s="207">
        <f t="shared" si="3"/>
        <v>52</v>
      </c>
      <c r="AI17" s="207">
        <f t="shared" si="3"/>
        <v>1</v>
      </c>
      <c r="AJ17" s="208">
        <f t="shared" si="3"/>
        <v>1</v>
      </c>
      <c r="AK17" s="407"/>
      <c r="AL17" s="115" cm="1">
        <f t="array" ref="AL17">SUM(IF(FREQUENCY(F17:AJ17,F17:AJ17)&gt;0,1))</f>
        <v>6</v>
      </c>
      <c r="AM17" s="290"/>
      <c r="AN17" s="290"/>
      <c r="AO17" s="338" t="str" cm="1">
        <f t="array" ref="AO17">INDEX(H_Basis!N33:N44,$AM$13,1)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45627</v>
      </c>
      <c r="G18" s="28">
        <f t="shared" ref="G18:AJ18" si="4">IF(G14,G16,0)</f>
        <v>45628</v>
      </c>
      <c r="H18" s="27">
        <f t="shared" si="4"/>
        <v>45629</v>
      </c>
      <c r="I18" s="27">
        <f t="shared" si="4"/>
        <v>45630</v>
      </c>
      <c r="J18" s="27">
        <f t="shared" si="4"/>
        <v>45631</v>
      </c>
      <c r="K18" s="27">
        <f t="shared" si="4"/>
        <v>45632</v>
      </c>
      <c r="L18" s="27">
        <f t="shared" si="4"/>
        <v>45633</v>
      </c>
      <c r="M18" s="27">
        <f t="shared" si="4"/>
        <v>45634</v>
      </c>
      <c r="N18" s="27">
        <f t="shared" si="4"/>
        <v>45635</v>
      </c>
      <c r="O18" s="27">
        <f t="shared" si="4"/>
        <v>45636</v>
      </c>
      <c r="P18" s="27">
        <f t="shared" si="4"/>
        <v>45637</v>
      </c>
      <c r="Q18" s="27">
        <f t="shared" si="4"/>
        <v>45638</v>
      </c>
      <c r="R18" s="27">
        <f t="shared" si="4"/>
        <v>45639</v>
      </c>
      <c r="S18" s="27">
        <f t="shared" si="4"/>
        <v>45640</v>
      </c>
      <c r="T18" s="27">
        <f t="shared" si="4"/>
        <v>45641</v>
      </c>
      <c r="U18" s="27">
        <f t="shared" si="4"/>
        <v>45642</v>
      </c>
      <c r="V18" s="27">
        <f t="shared" si="4"/>
        <v>45643</v>
      </c>
      <c r="W18" s="27">
        <f t="shared" si="4"/>
        <v>45644</v>
      </c>
      <c r="X18" s="27">
        <f t="shared" si="4"/>
        <v>45645</v>
      </c>
      <c r="Y18" s="27">
        <f t="shared" si="4"/>
        <v>45646</v>
      </c>
      <c r="Z18" s="27">
        <f t="shared" si="4"/>
        <v>45647</v>
      </c>
      <c r="AA18" s="27">
        <f t="shared" si="4"/>
        <v>45648</v>
      </c>
      <c r="AB18" s="27">
        <f t="shared" si="4"/>
        <v>45649</v>
      </c>
      <c r="AC18" s="27">
        <f t="shared" si="4"/>
        <v>45650</v>
      </c>
      <c r="AD18" s="27">
        <f t="shared" si="4"/>
        <v>45651</v>
      </c>
      <c r="AE18" s="27">
        <f t="shared" si="4"/>
        <v>45652</v>
      </c>
      <c r="AF18" s="27">
        <f t="shared" si="4"/>
        <v>45653</v>
      </c>
      <c r="AG18" s="27">
        <f t="shared" si="4"/>
        <v>45654</v>
      </c>
      <c r="AH18" s="27">
        <f t="shared" si="4"/>
        <v>45655</v>
      </c>
      <c r="AI18" s="202">
        <f t="shared" si="4"/>
        <v>45656</v>
      </c>
      <c r="AJ18" s="202">
        <f t="shared" si="4"/>
        <v>45657</v>
      </c>
      <c r="AK18" s="408"/>
      <c r="AL18" s="116">
        <f>_xlfn.DAYS(EOMONTH($F$18,0),$F$18)+1</f>
        <v>31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6"/>
      <c r="C19" s="255"/>
      <c r="D19" s="19"/>
      <c r="E19" s="385"/>
      <c r="F19" s="93" t="str">
        <f>IF(F14=1,TEXT(F$18,H_Label!$B$24&amp;"TTT"),0)</f>
        <v>So</v>
      </c>
      <c r="G19" s="93" t="str">
        <f>IF(G14=1,TEXT(G$18,H_Label!$B$24&amp;"TTT"),0)</f>
        <v>Mo</v>
      </c>
      <c r="H19" s="93" t="str">
        <f>IF(H14=1,TEXT(H$18,H_Label!$B$24&amp;"TTT"),0)</f>
        <v>Di</v>
      </c>
      <c r="I19" s="93" t="str">
        <f>IF(I14=1,TEXT(I$18,H_Label!$B$24&amp;"TTT"),0)</f>
        <v>Mi</v>
      </c>
      <c r="J19" s="93" t="str">
        <f>IF(J14=1,TEXT(J$18,H_Label!$B$24&amp;"TTT"),0)</f>
        <v>Do</v>
      </c>
      <c r="K19" s="93" t="str">
        <f>IF(K14=1,TEXT(K$18,H_Label!$B$24&amp;"TTT"),0)</f>
        <v>Fr</v>
      </c>
      <c r="L19" s="93" t="str">
        <f>IF(L14=1,TEXT(L$18,H_Label!$B$24&amp;"TTT"),0)</f>
        <v>Sa</v>
      </c>
      <c r="M19" s="93" t="str">
        <f>IF(M14=1,TEXT(M$18,H_Label!$B$24&amp;"TTT"),0)</f>
        <v>So</v>
      </c>
      <c r="N19" s="93" t="str">
        <f>IF(N14=1,TEXT(N$18,H_Label!$B$24&amp;"TTT"),0)</f>
        <v>Mo</v>
      </c>
      <c r="O19" s="93" t="str">
        <f>IF(O14=1,TEXT(O$18,H_Label!$B$24&amp;"TTT"),0)</f>
        <v>Di</v>
      </c>
      <c r="P19" s="93" t="str">
        <f>IF(P14=1,TEXT(P$18,H_Label!$B$24&amp;"TTT"),0)</f>
        <v>Mi</v>
      </c>
      <c r="Q19" s="93" t="str">
        <f>IF(Q14=1,TEXT(Q$18,H_Label!$B$24&amp;"TTT"),0)</f>
        <v>Do</v>
      </c>
      <c r="R19" s="93" t="str">
        <f>IF(R14=1,TEXT(R$18,H_Label!$B$24&amp;"TTT"),0)</f>
        <v>Fr</v>
      </c>
      <c r="S19" s="93" t="str">
        <f>IF(S14=1,TEXT(S$18,H_Label!$B$24&amp;"TTT"),0)</f>
        <v>Sa</v>
      </c>
      <c r="T19" s="93" t="str">
        <f>IF(T14=1,TEXT(T$18,H_Label!$B$24&amp;"TTT"),0)</f>
        <v>So</v>
      </c>
      <c r="U19" s="93" t="str">
        <f>IF(U14=1,TEXT(U$18,H_Label!$B$24&amp;"TTT"),0)</f>
        <v>Mo</v>
      </c>
      <c r="V19" s="93" t="str">
        <f>IF(V14=1,TEXT(V$18,H_Label!$B$24&amp;"TTT"),0)</f>
        <v>Di</v>
      </c>
      <c r="W19" s="93" t="str">
        <f>IF(W14=1,TEXT(W$18,H_Label!$B$24&amp;"TTT"),0)</f>
        <v>Mi</v>
      </c>
      <c r="X19" s="93" t="str">
        <f>IF(X14=1,TEXT(X$18,H_Label!$B$24&amp;"TTT"),0)</f>
        <v>Do</v>
      </c>
      <c r="Y19" s="93" t="str">
        <f>IF(Y14=1,TEXT(Y$18,H_Label!$B$24&amp;"TTT"),0)</f>
        <v>Fr</v>
      </c>
      <c r="Z19" s="93" t="str">
        <f>IF(Z14=1,TEXT(Z$18,H_Label!$B$24&amp;"TTT"),0)</f>
        <v>Sa</v>
      </c>
      <c r="AA19" s="93" t="str">
        <f>IF(AA14=1,TEXT(AA$18,H_Label!$B$24&amp;"TTT"),0)</f>
        <v>So</v>
      </c>
      <c r="AB19" s="93" t="str">
        <f>IF(AB14=1,TEXT(AB$18,H_Label!$B$24&amp;"TTT"),0)</f>
        <v>Mo</v>
      </c>
      <c r="AC19" s="93" t="str">
        <f>IF(AC14=1,TEXT(AC$18,H_Label!$B$24&amp;"TTT"),0)</f>
        <v>Di</v>
      </c>
      <c r="AD19" s="93" t="str">
        <f>IF(AD14=1,TEXT(AD$18,H_Label!$B$24&amp;"TTT"),0)</f>
        <v>Mi</v>
      </c>
      <c r="AE19" s="93" t="str">
        <f>IF(AE14=1,TEXT(AE$18,H_Label!$B$24&amp;"TTT"),0)</f>
        <v>Do</v>
      </c>
      <c r="AF19" s="93" t="str">
        <f>IF(AF14=1,TEXT(AF$18,H_Label!$B$24&amp;"TTT"),0)</f>
        <v>Fr</v>
      </c>
      <c r="AG19" s="93" t="str">
        <f>IF(AG14=1,TEXT(AG$18,H_Label!$B$24&amp;"TTT"),0)</f>
        <v>Sa</v>
      </c>
      <c r="AH19" s="93" t="str">
        <f>IF(AH14=1,TEXT(AH$18,H_Label!$B$24&amp;"TTT"),0)</f>
        <v>So</v>
      </c>
      <c r="AI19" s="93" t="str">
        <f>IF(AI14=1,TEXT(AI$18,H_Label!$B$24&amp;"TTT"),0)</f>
        <v>Mo</v>
      </c>
      <c r="AJ19" s="93" t="str">
        <f>IF(AJ14=1,TEXT(AJ$18,H_Label!$B$24&amp;"TTT"),0)</f>
        <v>Di</v>
      </c>
      <c r="AK19" s="409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7"/>
      <c r="C20" s="256"/>
      <c r="D20" s="19" t="str">
        <f>H_Label!B251</f>
        <v>Sollstunden</v>
      </c>
      <c r="E20" s="19"/>
      <c r="F20" s="26" cm="1">
        <f t="array" ref="F20">IF(OR(F14=0,F51="x"),0,A_fldSollTagStd*SUMPRODUCT((H_tblBGTage=WEEKDAY(F16,2))*(H_tblBGMnt=M_Monat)*H_tblBG%))</f>
        <v>0</v>
      </c>
      <c r="G20" s="26" cm="1">
        <f t="array" ref="G20">IF(OR(G14=0,G51="x"),0,A_fldSollTagStd*SUMPRODUCT((H_tblBGTage=WEEKDAY(G16,2))*(H_tblBGMnt=M_Monat)*H_tblBG%))</f>
        <v>8</v>
      </c>
      <c r="H20" s="26" cm="1">
        <f t="array" ref="H20">IF(OR(H14=0,H51="x"),0,A_fldSollTagStd*SUMPRODUCT((H_tblBGTage=WEEKDAY(H16,2))*(H_tblBGMnt=M_Monat)*H_tblBG%))</f>
        <v>8</v>
      </c>
      <c r="I20" s="26" cm="1">
        <f t="array" ref="I20">IF(OR(I14=0,I51="x"),0,A_fldSollTagStd*SUMPRODUCT((H_tblBGTage=WEEKDAY(I16,2))*(H_tblBGMnt=M_Monat)*H_tblBG%))</f>
        <v>8</v>
      </c>
      <c r="J20" s="26" cm="1">
        <f t="array" ref="J20">IF(OR(J14=0,J51="x"),0,A_fldSollTagStd*SUMPRODUCT((H_tblBGTage=WEEKDAY(J16,2))*(H_tblBGMnt=M_Monat)*H_tblBG%))</f>
        <v>8</v>
      </c>
      <c r="K20" s="26" cm="1">
        <f t="array" ref="K20">IF(OR(K14=0,K51="x"),0,A_fldSollTagStd*SUMPRODUCT((H_tblBGTage=WEEKDAY(K16,2))*(H_tblBGMnt=M_Monat)*H_tblBG%))</f>
        <v>8</v>
      </c>
      <c r="L20" s="26" cm="1">
        <f t="array" ref="L20">IF(OR(L14=0,L51="x"),0,A_fldSollTagStd*SUMPRODUCT((H_tblBGTage=WEEKDAY(L16,2))*(H_tblBGMnt=M_Monat)*H_tblBG%))</f>
        <v>0</v>
      </c>
      <c r="M20" s="26" cm="1">
        <f t="array" ref="M20">IF(OR(M14=0,M51="x"),0,A_fldSollTagStd*SUMPRODUCT((H_tblBGTage=WEEKDAY(M16,2))*(H_tblBGMnt=M_Monat)*H_tblBG%))</f>
        <v>0</v>
      </c>
      <c r="N20" s="26" cm="1">
        <f t="array" ref="N20">IF(OR(N14=0,N51="x"),0,A_fldSollTagStd*SUMPRODUCT((H_tblBGTage=WEEKDAY(N16,2))*(H_tblBGMnt=M_Monat)*H_tblBG%))</f>
        <v>8</v>
      </c>
      <c r="O20" s="26" cm="1">
        <f t="array" ref="O20">IF(OR(O14=0,O51="x"),0,A_fldSollTagStd*SUMPRODUCT((H_tblBGTage=WEEKDAY(O16,2))*(H_tblBGMnt=M_Monat)*H_tblBG%))</f>
        <v>8</v>
      </c>
      <c r="P20" s="26" cm="1">
        <f t="array" ref="P20">IF(OR(P14=0,P51="x"),0,A_fldSollTagStd*SUMPRODUCT((H_tblBGTage=WEEKDAY(P16,2))*(H_tblBGMnt=M_Monat)*H_tblBG%))</f>
        <v>8</v>
      </c>
      <c r="Q20" s="26" cm="1">
        <f t="array" ref="Q20">IF(OR(Q14=0,Q51="x"),0,A_fldSollTagStd*SUMPRODUCT((H_tblBGTage=WEEKDAY(Q16,2))*(H_tblBGMnt=M_Monat)*H_tblBG%))</f>
        <v>8</v>
      </c>
      <c r="R20" s="26" cm="1">
        <f t="array" ref="R20">IF(OR(R14=0,R51="x"),0,A_fldSollTagStd*SUMPRODUCT((H_tblBGTage=WEEKDAY(R16,2))*(H_tblBGMnt=M_Monat)*H_tblBG%))</f>
        <v>8</v>
      </c>
      <c r="S20" s="26" cm="1">
        <f t="array" ref="S20">IF(OR(S14=0,S51="x"),0,A_fldSollTagStd*SUMPRODUCT((H_tblBGTage=WEEKDAY(S16,2))*(H_tblBGMnt=M_Monat)*H_tblBG%))</f>
        <v>0</v>
      </c>
      <c r="T20" s="26" cm="1">
        <f t="array" ref="T20">IF(OR(T14=0,T51="x"),0,A_fldSollTagStd*SUMPRODUCT((H_tblBGTage=WEEKDAY(T16,2))*(H_tblBGMnt=M_Monat)*H_tblBG%))</f>
        <v>0</v>
      </c>
      <c r="U20" s="26" cm="1">
        <f t="array" ref="U20">IF(OR(U14=0,U51="x"),0,A_fldSollTagStd*SUMPRODUCT((H_tblBGTage=WEEKDAY(U16,2))*(H_tblBGMnt=M_Monat)*H_tblBG%))</f>
        <v>8</v>
      </c>
      <c r="V20" s="26" cm="1">
        <f t="array" ref="V20">IF(OR(V14=0,V51="x"),0,A_fldSollTagStd*SUMPRODUCT((H_tblBGTage=WEEKDAY(V16,2))*(H_tblBGMnt=M_Monat)*H_tblBG%))</f>
        <v>8</v>
      </c>
      <c r="W20" s="26" cm="1">
        <f t="array" ref="W20">IF(OR(W14=0,W51="x"),0,A_fldSollTagStd*SUMPRODUCT((H_tblBGTage=WEEKDAY(W16,2))*(H_tblBGMnt=M_Monat)*H_tblBG%))</f>
        <v>8</v>
      </c>
      <c r="X20" s="26" cm="1">
        <f t="array" ref="X20">IF(OR(X14=0,X51="x"),0,A_fldSollTagStd*SUMPRODUCT((H_tblBGTage=WEEKDAY(X16,2))*(H_tblBGMnt=M_Monat)*H_tblBG%))</f>
        <v>8</v>
      </c>
      <c r="Y20" s="26" cm="1">
        <f t="array" ref="Y20">IF(OR(Y14=0,Y51="x"),0,A_fldSollTagStd*SUMPRODUCT((H_tblBGTage=WEEKDAY(Y16,2))*(H_tblBGMnt=M_Monat)*H_tblBG%))</f>
        <v>8</v>
      </c>
      <c r="Z20" s="26" cm="1">
        <f t="array" ref="Z20">IF(OR(Z14=0,Z51="x"),0,A_fldSollTagStd*SUMPRODUCT((H_tblBGTage=WEEKDAY(Z16,2))*(H_tblBGMnt=M_Monat)*H_tblBG%))</f>
        <v>0</v>
      </c>
      <c r="AA20" s="26" cm="1">
        <f t="array" ref="AA20">IF(OR(AA14=0,AA51="x"),0,A_fldSollTagStd*SUMPRODUCT((H_tblBGTage=WEEKDAY(AA16,2))*(H_tblBGMnt=M_Monat)*H_tblBG%))</f>
        <v>0</v>
      </c>
      <c r="AB20" s="26" cm="1">
        <f t="array" ref="AB20">IF(OR(AB14=0,AB51="x"),0,A_fldSollTagStd*SUMPRODUCT((H_tblBGTage=WEEKDAY(AB16,2))*(H_tblBGMnt=M_Monat)*H_tblBG%))</f>
        <v>8</v>
      </c>
      <c r="AC20" s="26" cm="1">
        <f t="array" ref="AC20">IF(OR(AC14=0,AC51="x"),0,A_fldSollTagStd*SUMPRODUCT((H_tblBGTage=WEEKDAY(AC16,2))*(H_tblBGMnt=M_Monat)*H_tblBG%))</f>
        <v>8</v>
      </c>
      <c r="AD20" s="26" cm="1">
        <f t="array" ref="AD20">IF(OR(AD14=0,AD51="x"),0,A_fldSollTagStd*SUMPRODUCT((H_tblBGTage=WEEKDAY(AD16,2))*(H_tblBGMnt=M_Monat)*H_tblBG%))</f>
        <v>8</v>
      </c>
      <c r="AE20" s="26" cm="1">
        <f t="array" ref="AE20">IF(OR(AE14=0,AE51="x"),0,A_fldSollTagStd*SUMPRODUCT((H_tblBGTage=WEEKDAY(AE16,2))*(H_tblBGMnt=M_Monat)*H_tblBG%))</f>
        <v>8</v>
      </c>
      <c r="AF20" s="26" cm="1">
        <f t="array" ref="AF20">IF(OR(AF14=0,AF51="x"),0,A_fldSollTagStd*SUMPRODUCT((H_tblBGTage=WEEKDAY(AF16,2))*(H_tblBGMnt=M_Monat)*H_tblBG%))</f>
        <v>8</v>
      </c>
      <c r="AG20" s="26" cm="1">
        <f t="array" ref="AG20">IF(OR(AG14=0,AG51="x"),0,A_fldSollTagStd*SUMPRODUCT((H_tblBGTage=WEEKDAY(AG16,2))*(H_tblBGMnt=M_Monat)*H_tblBG%))</f>
        <v>0</v>
      </c>
      <c r="AH20" s="26" cm="1">
        <f t="array" ref="AH20">IF(OR(AH14=0,AH51="x"),0,A_fldSollTagStd*SUMPRODUCT((H_tblBGTage=WEEKDAY(AH16,2))*(H_tblBGMnt=M_Monat)*H_tblBG%))</f>
        <v>0</v>
      </c>
      <c r="AI20" s="203" cm="1">
        <f t="array" ref="AI20">IF(OR(AI14=0,AI51="x"),0,A_fldSollTagStd*SUMPRODUCT((H_tblBGTage=WEEKDAY(AI16,2))*(H_tblBGMnt=M_Monat)*H_tblBG%))</f>
        <v>8</v>
      </c>
      <c r="AJ20" s="203" cm="1">
        <f t="array" ref="AJ20">IF(OR(AJ14=0,AJ51="x"),0,A_fldSollTagStd*SUMPRODUCT((H_tblBGTage=WEEKDAY(AJ16,2))*(H_tblBGMnt=M_Monat)*H_tblBG%))</f>
        <v>8</v>
      </c>
      <c r="AK20" s="410"/>
      <c r="AL20" s="288" t="s">
        <v>541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7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11"/>
      <c r="AL21" s="329" cm="1">
        <f t="array" ref="AL21">SUMPRODUCT((F20:AJ20)*(F21:AJ21="ft"))</f>
        <v>0</v>
      </c>
      <c r="AM21" s="328">
        <f>COUNTIF(F21:AJ21,"ft")</f>
        <v>0</v>
      </c>
      <c r="AN21" s="328"/>
      <c r="AO21" s="301" t="s">
        <v>185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7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527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7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12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7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12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7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12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7"/>
      <c r="C26" s="256">
        <v>4</v>
      </c>
      <c r="D26" s="89" t="str">
        <f>H_Label!B260</f>
        <v>Tagestotal</v>
      </c>
      <c r="E26" s="386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403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7">
        <v>2</v>
      </c>
      <c r="C27" s="256">
        <v>5</v>
      </c>
      <c r="D27" s="532" t="str">
        <f>H_Label!B261</f>
        <v>Wochentotal</v>
      </c>
      <c r="E27" s="387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403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7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33"/>
      <c r="AL28" s="25" t="s">
        <v>527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7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13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7"/>
      <c r="C30" s="256">
        <v>8</v>
      </c>
      <c r="D30" s="23" t="str">
        <f>H_Label!B269</f>
        <v>Zeitzuschlag 1)</v>
      </c>
      <c r="E30" s="388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4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7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13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5">
        <v>2</v>
      </c>
      <c r="C32" s="254">
        <v>10</v>
      </c>
      <c r="D32" s="23" t="str">
        <f>H_Label!B271</f>
        <v>Zeitzuschlag 3)</v>
      </c>
      <c r="E32" s="23"/>
      <c r="F32" s="24">
        <f t="shared" ref="F32:AG32" si="10">IF(OR(WEEKDAY(F18,2)=7,F21="ft"),F26,0)*A_fldZ3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>IFERROR(IF(OR(WEEKDAY(AH18,2)=7,AH21="ft"),AH26,0)*A_fldZ3,"")</f>
        <v>0</v>
      </c>
      <c r="AI32" s="205">
        <f>IFERROR(IF(OR(WEEKDAY(AI18,2)=7,AI21="ft"),AI26,0)*A_fldZ3,"")</f>
        <v>0</v>
      </c>
      <c r="AJ32" s="205">
        <f>IFERROR(IF(OR(WEEKDAY(AJ18,2)=7,AJ21="ft"),AJ26,0)*A_fldZ3,"")</f>
        <v>0</v>
      </c>
      <c r="AK32" s="413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527</v>
      </c>
      <c r="AM33" s="25" t="s">
        <v>529</v>
      </c>
      <c r="AN33" s="25" t="s">
        <v>530</v>
      </c>
      <c r="AP33" s="8" t="s">
        <v>505</v>
      </c>
    </row>
    <row r="34" spans="2:42" ht="12" customHeight="1" x14ac:dyDescent="0.25">
      <c r="B34" s="445">
        <v>1</v>
      </c>
      <c r="C34" s="254">
        <v>12</v>
      </c>
      <c r="D34" s="79" t="str">
        <f>H_Label!B276</f>
        <v>Ferien</v>
      </c>
      <c r="E34" s="389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9"/>
      <c r="AI34" s="339"/>
      <c r="AJ34" s="340"/>
      <c r="AK34" s="402"/>
      <c r="AL34" s="123">
        <f>SUM(F34:AJ34)</f>
        <v>0</v>
      </c>
      <c r="AM34" s="296">
        <f>COUNT(F34:AJ34)</f>
        <v>0</v>
      </c>
      <c r="AN34" s="296" cm="1">
        <f t="array" ref="AN34">AL34/INDEX(H_Basis!$K$33:$K$44,M_Monat,1)</f>
        <v>0</v>
      </c>
      <c r="AO34" s="300" t="s">
        <v>186</v>
      </c>
      <c r="AP34" s="327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90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41"/>
      <c r="AI35" s="341"/>
      <c r="AJ35" s="342"/>
      <c r="AK35" s="402"/>
      <c r="AL35" s="123">
        <f t="shared" ref="AL35:AL47" si="11">SUM(F35:AJ35)</f>
        <v>0</v>
      </c>
      <c r="AM35" s="296">
        <f t="shared" ref="AM35:AM44" si="12">COUNT(F35:AJ35)</f>
        <v>0</v>
      </c>
      <c r="AN35" s="296" cm="1">
        <f t="array" ref="AN35">AL35/INDEX(H_Basis!$K$33:$K$44,M_Monat,1)</f>
        <v>0</v>
      </c>
      <c r="AO35" s="300" t="s">
        <v>472</v>
      </c>
      <c r="AP35" s="327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91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43"/>
      <c r="AK36" s="402"/>
      <c r="AL36" s="123">
        <f t="shared" si="11"/>
        <v>0</v>
      </c>
      <c r="AM36" s="296">
        <f t="shared" si="12"/>
        <v>0</v>
      </c>
      <c r="AN36" s="296" cm="1">
        <f t="array" ref="AN36">AL36/INDEX(H_Basis!$K$33:$K$44,M_Monat,1)</f>
        <v>0</v>
      </c>
      <c r="AO36" s="300" t="s">
        <v>474</v>
      </c>
      <c r="AP36" s="327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92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4"/>
      <c r="AK37" s="402"/>
      <c r="AL37" s="123">
        <f t="shared" si="11"/>
        <v>0</v>
      </c>
      <c r="AM37" s="296">
        <f t="shared" si="12"/>
        <v>0</v>
      </c>
      <c r="AN37" s="296" cm="1">
        <f t="array" ref="AN37">AL37/INDEX(H_Basis!$K$33:$K$44,M_Monat,1)</f>
        <v>0</v>
      </c>
      <c r="AO37" s="300" t="s">
        <v>189</v>
      </c>
      <c r="AP37" s="327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93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5"/>
      <c r="AK38" s="402"/>
      <c r="AL38" s="123">
        <f t="shared" si="11"/>
        <v>0</v>
      </c>
      <c r="AM38" s="296">
        <f t="shared" si="12"/>
        <v>0</v>
      </c>
      <c r="AN38" s="296" cm="1">
        <f t="array" ref="AN38">AL38/INDEX(H_Basis!$K$33:$K$44,M_Monat,1)</f>
        <v>0</v>
      </c>
      <c r="AO38" s="300" t="s">
        <v>192</v>
      </c>
      <c r="AP38" s="327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93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5"/>
      <c r="AK39" s="402"/>
      <c r="AL39" s="123">
        <f t="shared" si="11"/>
        <v>0</v>
      </c>
      <c r="AM39" s="296">
        <f t="shared" si="12"/>
        <v>0</v>
      </c>
      <c r="AN39" s="296" cm="1">
        <f t="array" ref="AN39">AL39/INDEX(H_Basis!$K$33:$K$44,M_Monat,1)</f>
        <v>0</v>
      </c>
      <c r="AO39" s="300" t="s">
        <v>195</v>
      </c>
      <c r="AP39" s="327">
        <v>1</v>
      </c>
    </row>
    <row r="40" spans="2:42" ht="12" customHeight="1" x14ac:dyDescent="0.25">
      <c r="C40" s="254">
        <v>18</v>
      </c>
      <c r="D40" s="41" t="str">
        <f>H_Label!B282</f>
        <v>Schwanger-/ Mutter-/ Vaterschaft</v>
      </c>
      <c r="E40" s="393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5"/>
      <c r="AK40" s="402"/>
      <c r="AL40" s="123">
        <f t="shared" si="11"/>
        <v>0</v>
      </c>
      <c r="AM40" s="296">
        <f t="shared" si="12"/>
        <v>0</v>
      </c>
      <c r="AN40" s="296" cm="1">
        <f t="array" ref="AN40">AL40/INDEX(H_Basis!$K$33:$K$44,M_Monat,1)</f>
        <v>0</v>
      </c>
      <c r="AO40" s="300" t="s">
        <v>198</v>
      </c>
      <c r="AP40" s="327">
        <v>1</v>
      </c>
    </row>
    <row r="41" spans="2:42" ht="12" customHeight="1" x14ac:dyDescent="0.25">
      <c r="C41" s="254">
        <v>19</v>
      </c>
      <c r="D41" s="41" t="str">
        <f>H_Label!B283</f>
        <v>Militär/Zivildienst</v>
      </c>
      <c r="E41" s="393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5"/>
      <c r="AK41" s="402"/>
      <c r="AL41" s="123">
        <f t="shared" si="11"/>
        <v>0</v>
      </c>
      <c r="AM41" s="296">
        <f t="shared" si="12"/>
        <v>0</v>
      </c>
      <c r="AN41" s="296" cm="1">
        <f t="array" ref="AN41">AL41/INDEX(H_Basis!$K$33:$K$44,M_Monat,1)</f>
        <v>0</v>
      </c>
      <c r="AO41" s="300" t="s">
        <v>201</v>
      </c>
      <c r="AP41" s="327">
        <v>1</v>
      </c>
    </row>
    <row r="42" spans="2:42" ht="12" customHeight="1" x14ac:dyDescent="0.25">
      <c r="C42" s="254">
        <v>20</v>
      </c>
      <c r="D42" s="41" t="str">
        <f>H_Label!B284</f>
        <v>Berufsschule</v>
      </c>
      <c r="E42" s="393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5"/>
      <c r="AK42" s="402"/>
      <c r="AL42" s="123">
        <f t="shared" si="11"/>
        <v>0</v>
      </c>
      <c r="AM42" s="296">
        <f t="shared" si="12"/>
        <v>0</v>
      </c>
      <c r="AN42" s="296" cm="1">
        <f t="array" ref="AN42">AL42/INDEX(H_Basis!$K$33:$K$44,M_Monat,1)</f>
        <v>0</v>
      </c>
      <c r="AO42" s="300" t="s">
        <v>204</v>
      </c>
      <c r="AP42" s="327">
        <v>1</v>
      </c>
    </row>
    <row r="43" spans="2:42" ht="12" customHeight="1" x14ac:dyDescent="0.25">
      <c r="C43" s="254">
        <v>21</v>
      </c>
      <c r="D43" s="42" t="str">
        <f>H_Label!B285</f>
        <v>Kurse</v>
      </c>
      <c r="E43" s="394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343"/>
      <c r="AK43" s="402"/>
      <c r="AL43" s="123">
        <f t="shared" si="11"/>
        <v>0</v>
      </c>
      <c r="AM43" s="296">
        <f t="shared" si="12"/>
        <v>0</v>
      </c>
      <c r="AN43" s="296" cm="1">
        <f t="array" ref="AN43">AL43/INDEX(H_Basis!$K$33:$K$44,M_Monat,1)</f>
        <v>0</v>
      </c>
      <c r="AO43" s="300" t="s">
        <v>206</v>
      </c>
      <c r="AP43" s="327">
        <v>1</v>
      </c>
    </row>
    <row r="44" spans="2:42" ht="12" customHeight="1" x14ac:dyDescent="0.25">
      <c r="C44" s="254">
        <v>22</v>
      </c>
      <c r="D44" s="551" t="str">
        <f>H_Label!B286</f>
        <v>Kurzarbeit und Schlechtwetter</v>
      </c>
      <c r="E44" s="552"/>
      <c r="F44" s="553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4"/>
      <c r="T44" s="554"/>
      <c r="U44" s="554"/>
      <c r="V44" s="554"/>
      <c r="W44" s="554"/>
      <c r="X44" s="554"/>
      <c r="Y44" s="554"/>
      <c r="Z44" s="554"/>
      <c r="AA44" s="554"/>
      <c r="AB44" s="554"/>
      <c r="AC44" s="554"/>
      <c r="AD44" s="554"/>
      <c r="AE44" s="554"/>
      <c r="AF44" s="554"/>
      <c r="AG44" s="554"/>
      <c r="AH44" s="554"/>
      <c r="AI44" s="554"/>
      <c r="AJ44" s="555"/>
      <c r="AK44" s="402"/>
      <c r="AL44" s="123">
        <f t="shared" si="11"/>
        <v>0</v>
      </c>
      <c r="AM44" s="296">
        <f t="shared" si="12"/>
        <v>0</v>
      </c>
      <c r="AN44" s="296" cm="1">
        <f t="array" ref="AN44">AL44/INDEX(H_Basis!$K$33:$K$44,M_Monat,1)</f>
        <v>0</v>
      </c>
      <c r="AO44" s="300" t="s">
        <v>208</v>
      </c>
      <c r="AP44" s="327">
        <v>1</v>
      </c>
    </row>
    <row r="45" spans="2:42" ht="12" customHeight="1" x14ac:dyDescent="0.25">
      <c r="C45" s="254">
        <v>23</v>
      </c>
      <c r="D45" s="42" t="str">
        <f>H_Label!B310</f>
        <v>betrieblich festgelegte Ausfälle</v>
      </c>
      <c r="E45" s="394"/>
      <c r="F45" s="49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343"/>
      <c r="AK45" s="402"/>
      <c r="AL45" s="123">
        <f t="shared" si="11"/>
        <v>0</v>
      </c>
      <c r="AM45" s="296"/>
      <c r="AN45" s="296"/>
      <c r="AO45" s="300" t="s">
        <v>602</v>
      </c>
      <c r="AP45" s="327">
        <v>1</v>
      </c>
    </row>
    <row r="46" spans="2:42" ht="12" customHeight="1" x14ac:dyDescent="0.25">
      <c r="C46" s="254">
        <v>24</v>
      </c>
      <c r="D46" s="43" t="str">
        <f>H_Label!B287</f>
        <v>Ferien unbezahlt</v>
      </c>
      <c r="E46" s="392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344"/>
      <c r="AK46" s="402"/>
      <c r="AL46" s="123">
        <f t="shared" si="11"/>
        <v>0</v>
      </c>
      <c r="AM46" s="296">
        <f t="shared" ref="AM46:AM47" si="13">COUNT(F46:AJ46)</f>
        <v>0</v>
      </c>
      <c r="AN46" s="296" cm="1">
        <f t="array" ref="AN46">AL46/INDEX(H_Basis!$K$33:$K$44,M_Monat,1)</f>
        <v>0</v>
      </c>
      <c r="AO46" s="300" t="s">
        <v>226</v>
      </c>
      <c r="AP46" s="327">
        <v>0</v>
      </c>
    </row>
    <row r="47" spans="2:42" ht="12" customHeight="1" thickBot="1" x14ac:dyDescent="0.3">
      <c r="C47" s="254">
        <v>25</v>
      </c>
      <c r="D47" s="44" t="str">
        <f>H_Label!B288</f>
        <v>Fehlstunden unbezahlt</v>
      </c>
      <c r="E47" s="395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46"/>
      <c r="AK47" s="402"/>
      <c r="AL47" s="123">
        <f t="shared" si="11"/>
        <v>0</v>
      </c>
      <c r="AM47" s="296">
        <f t="shared" si="13"/>
        <v>0</v>
      </c>
      <c r="AN47" s="296" cm="1">
        <f t="array" ref="AN47">AL47/INDEX(H_Basis!$K$33:$K$44,M_Monat,1)</f>
        <v>0</v>
      </c>
      <c r="AO47" s="300" t="s">
        <v>228</v>
      </c>
      <c r="AP47" s="327">
        <v>0</v>
      </c>
    </row>
    <row r="48" spans="2:42" ht="12" customHeight="1" thickBot="1" x14ac:dyDescent="0.3">
      <c r="B48" s="445">
        <v>2</v>
      </c>
      <c r="C48" s="254">
        <v>26</v>
      </c>
      <c r="D48" s="45" t="str">
        <f>H_Label!B289</f>
        <v>Unproduktive Std. Total</v>
      </c>
      <c r="E48" s="396"/>
      <c r="F48" s="444">
        <f>SUM(F37:F45)</f>
        <v>0</v>
      </c>
      <c r="G48" s="442">
        <f>ROUND(SUM(G37:G45),4)</f>
        <v>0</v>
      </c>
      <c r="H48" s="442">
        <f t="shared" ref="H48:AJ48" si="14">ROUND(SUM(H37:H45),4)</f>
        <v>0</v>
      </c>
      <c r="I48" s="442">
        <f t="shared" si="14"/>
        <v>0</v>
      </c>
      <c r="J48" s="442">
        <f t="shared" si="14"/>
        <v>0</v>
      </c>
      <c r="K48" s="442">
        <f t="shared" si="14"/>
        <v>0</v>
      </c>
      <c r="L48" s="442">
        <f t="shared" si="14"/>
        <v>0</v>
      </c>
      <c r="M48" s="442">
        <f t="shared" si="14"/>
        <v>0</v>
      </c>
      <c r="N48" s="442">
        <f t="shared" si="14"/>
        <v>0</v>
      </c>
      <c r="O48" s="442">
        <f t="shared" si="14"/>
        <v>0</v>
      </c>
      <c r="P48" s="442">
        <f t="shared" si="14"/>
        <v>0</v>
      </c>
      <c r="Q48" s="442">
        <f t="shared" si="14"/>
        <v>0</v>
      </c>
      <c r="R48" s="442">
        <f t="shared" si="14"/>
        <v>0</v>
      </c>
      <c r="S48" s="442">
        <f t="shared" si="14"/>
        <v>0</v>
      </c>
      <c r="T48" s="442">
        <f t="shared" si="14"/>
        <v>0</v>
      </c>
      <c r="U48" s="442">
        <f t="shared" si="14"/>
        <v>0</v>
      </c>
      <c r="V48" s="442">
        <f t="shared" si="14"/>
        <v>0</v>
      </c>
      <c r="W48" s="442">
        <f t="shared" si="14"/>
        <v>0</v>
      </c>
      <c r="X48" s="442">
        <f t="shared" si="14"/>
        <v>0</v>
      </c>
      <c r="Y48" s="442">
        <f t="shared" si="14"/>
        <v>0</v>
      </c>
      <c r="Z48" s="442">
        <f t="shared" si="14"/>
        <v>0</v>
      </c>
      <c r="AA48" s="442">
        <f t="shared" si="14"/>
        <v>0</v>
      </c>
      <c r="AB48" s="442">
        <f t="shared" si="14"/>
        <v>0</v>
      </c>
      <c r="AC48" s="442">
        <f t="shared" si="14"/>
        <v>0</v>
      </c>
      <c r="AD48" s="442">
        <f t="shared" si="14"/>
        <v>0</v>
      </c>
      <c r="AE48" s="442">
        <f t="shared" si="14"/>
        <v>0</v>
      </c>
      <c r="AF48" s="442">
        <f t="shared" si="14"/>
        <v>0</v>
      </c>
      <c r="AG48" s="442">
        <f t="shared" si="14"/>
        <v>0</v>
      </c>
      <c r="AH48" s="442">
        <f t="shared" si="14"/>
        <v>0</v>
      </c>
      <c r="AI48" s="442">
        <f t="shared" si="14"/>
        <v>0</v>
      </c>
      <c r="AJ48" s="443">
        <f t="shared" si="14"/>
        <v>0</v>
      </c>
      <c r="AK48" s="403"/>
      <c r="AL48" s="123">
        <f>SUM(F48:AJ48)</f>
        <v>0</v>
      </c>
      <c r="AM48" s="296">
        <f>SUM(AM34:AM47)</f>
        <v>0</v>
      </c>
      <c r="AN48" s="296">
        <f>SUM(AN34:AN47)</f>
        <v>0</v>
      </c>
      <c r="AO48" s="300"/>
      <c r="AP48" s="327"/>
    </row>
    <row r="49" spans="1:46" ht="18" customHeight="1" thickBot="1" x14ac:dyDescent="0.3">
      <c r="C49" s="254">
        <v>27</v>
      </c>
      <c r="D49" s="66" t="str">
        <f>H_Label!B291</f>
        <v>Steuerung &amp; Korrekturen</v>
      </c>
      <c r="E49" s="87"/>
      <c r="F49" s="150"/>
      <c r="G49" s="151" t="str">
        <f>H_Label!B292</f>
        <v>Korrektur-Tage mit einem x markieren =&gt;</v>
      </c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302"/>
      <c r="AL49" s="25" t="s">
        <v>528</v>
      </c>
    </row>
    <row r="50" spans="1:46" ht="12" customHeight="1" x14ac:dyDescent="0.25">
      <c r="B50" s="445">
        <v>1</v>
      </c>
      <c r="C50" s="254">
        <v>28</v>
      </c>
      <c r="D50" s="22" t="str">
        <f>H_Label!B294</f>
        <v>Karenztag (Krankheit)</v>
      </c>
      <c r="E50" s="22"/>
      <c r="F50" s="18"/>
      <c r="G50" s="18"/>
      <c r="H50" s="18"/>
      <c r="I50" s="62"/>
      <c r="J50" s="6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347"/>
      <c r="AI50" s="347"/>
      <c r="AJ50" s="347"/>
      <c r="AK50" s="412"/>
      <c r="AL50" s="123">
        <f>COUNTA(F50:AJ50)</f>
        <v>0</v>
      </c>
      <c r="AM50" s="123"/>
      <c r="AN50" s="510" t="s">
        <v>542</v>
      </c>
      <c r="AO50" s="300"/>
    </row>
    <row r="51" spans="1:46" ht="12" customHeight="1" x14ac:dyDescent="0.25">
      <c r="B51" s="445">
        <v>2</v>
      </c>
      <c r="C51" s="254">
        <v>29</v>
      </c>
      <c r="D51" s="22" t="str">
        <f>H_Label!B295</f>
        <v>Tag ausschliessen</v>
      </c>
      <c r="E51" s="22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7"/>
      <c r="AI51" s="347"/>
      <c r="AJ51" s="347"/>
      <c r="AK51" s="412"/>
      <c r="AL51" s="289">
        <f>COUNTA(F51:AJ51)</f>
        <v>0</v>
      </c>
      <c r="AM51" s="294">
        <f>AL19-AL51</f>
        <v>22</v>
      </c>
      <c r="AN51" s="511" cm="1">
        <f t="array" ref="AN51">((SUMPRODUCT((H_tblBGMnt=M_Monat)*H_tblBGavg)%*AM18)/AM18)/AL19*AM51</f>
        <v>1</v>
      </c>
      <c r="AO51" s="300"/>
    </row>
    <row r="52" spans="1:46" ht="12" customHeight="1" x14ac:dyDescent="0.25"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8"/>
    </row>
    <row r="53" spans="1:46" ht="18" customHeight="1" x14ac:dyDescent="0.25">
      <c r="D53" s="153" t="str">
        <f>H_Label!B297</f>
        <v>manuelle Korrekturen</v>
      </c>
      <c r="E53" s="153"/>
      <c r="F53" s="154" t="str">
        <f>H_Label!B298</f>
        <v>Ausbezahlte Stunden Vorjahressaldo</v>
      </c>
      <c r="G53" s="154"/>
      <c r="H53" s="154"/>
      <c r="I53" s="154"/>
      <c r="J53" s="154"/>
      <c r="K53" s="759"/>
      <c r="L53" s="760"/>
      <c r="M53" s="761"/>
      <c r="N53" s="152"/>
      <c r="O53" s="152"/>
      <c r="P53" s="154" t="str">
        <f>H_Label!B299</f>
        <v>Ausbezahlte Stunden laufendes Jahr (Überstunden)</v>
      </c>
      <c r="Q53" s="152"/>
      <c r="R53" s="152"/>
      <c r="S53" s="152"/>
      <c r="T53" s="152"/>
      <c r="U53" s="152"/>
      <c r="V53" s="152"/>
      <c r="W53" s="759"/>
      <c r="X53" s="760"/>
      <c r="Y53" s="761"/>
      <c r="Z53" s="152"/>
      <c r="AA53" s="154"/>
      <c r="AB53" s="152"/>
      <c r="AC53" s="152"/>
      <c r="AD53" s="154" t="str">
        <f>H_Label!B300</f>
        <v>Gutschrift / Abzug Ferien</v>
      </c>
      <c r="AE53" s="154"/>
      <c r="AF53" s="154"/>
      <c r="AG53" s="154"/>
      <c r="AH53" s="759"/>
      <c r="AI53" s="760"/>
      <c r="AJ53" s="761"/>
      <c r="AK53" s="404"/>
    </row>
    <row r="54" spans="1:46" ht="9.6" customHeight="1" x14ac:dyDescent="0.25"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</row>
    <row r="55" spans="1:46" ht="12" customHeight="1" x14ac:dyDescent="0.25">
      <c r="D55" s="156" t="str">
        <f>H_Label!B302</f>
        <v>Bemerkungen</v>
      </c>
      <c r="E55" s="156"/>
      <c r="F55" s="777"/>
      <c r="G55" s="778"/>
      <c r="H55" s="778"/>
      <c r="I55" s="778"/>
      <c r="J55" s="778"/>
      <c r="K55" s="778"/>
      <c r="L55" s="778"/>
      <c r="M55" s="778"/>
      <c r="N55" s="778"/>
      <c r="O55" s="778"/>
      <c r="P55" s="778"/>
      <c r="Q55" s="778"/>
      <c r="R55" s="778"/>
      <c r="S55" s="778"/>
      <c r="T55" s="778"/>
      <c r="U55" s="778"/>
      <c r="V55" s="778"/>
      <c r="W55" s="778"/>
      <c r="X55" s="778"/>
      <c r="Y55" s="778"/>
      <c r="Z55" s="778"/>
      <c r="AA55" s="778"/>
      <c r="AB55" s="778"/>
      <c r="AC55" s="778"/>
      <c r="AD55" s="778"/>
      <c r="AE55" s="778"/>
      <c r="AF55" s="778"/>
      <c r="AG55" s="778"/>
      <c r="AH55" s="778"/>
      <c r="AI55" s="778"/>
      <c r="AJ55" s="779"/>
      <c r="AK55" s="405"/>
    </row>
    <row r="56" spans="1:46" ht="12" customHeight="1" x14ac:dyDescent="0.25">
      <c r="D56" s="157"/>
      <c r="E56" s="157"/>
      <c r="F56" s="780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781"/>
      <c r="R56" s="781"/>
      <c r="S56" s="781"/>
      <c r="T56" s="781"/>
      <c r="U56" s="781"/>
      <c r="V56" s="781"/>
      <c r="W56" s="781"/>
      <c r="X56" s="781"/>
      <c r="Y56" s="781"/>
      <c r="Z56" s="781"/>
      <c r="AA56" s="781"/>
      <c r="AB56" s="781"/>
      <c r="AC56" s="781"/>
      <c r="AD56" s="781"/>
      <c r="AE56" s="781"/>
      <c r="AF56" s="781"/>
      <c r="AG56" s="781"/>
      <c r="AH56" s="781"/>
      <c r="AI56" s="781"/>
      <c r="AJ56" s="782"/>
      <c r="AK56" s="405"/>
    </row>
    <row r="57" spans="1:46" ht="12" customHeight="1" x14ac:dyDescent="0.25">
      <c r="D57" s="158"/>
      <c r="E57" s="158"/>
      <c r="F57" s="795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796"/>
      <c r="AD57" s="796"/>
      <c r="AE57" s="796"/>
      <c r="AF57" s="796"/>
      <c r="AG57" s="796"/>
      <c r="AH57" s="796"/>
      <c r="AI57" s="796"/>
      <c r="AJ57" s="797"/>
      <c r="AK57" s="405"/>
    </row>
    <row r="58" spans="1:46" ht="9.6" customHeight="1" x14ac:dyDescent="0.25"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</row>
    <row r="59" spans="1:46" s="92" customFormat="1" ht="13.5" x14ac:dyDescent="0.2">
      <c r="A59" s="257"/>
      <c r="B59" s="448"/>
      <c r="C59" s="257"/>
      <c r="D59" s="159" t="str">
        <f>H_Label!B304</f>
        <v>Ich habe die Monatsabrechnung kontrolliert und auf ihre Richtigkeit geprüft</v>
      </c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91"/>
      <c r="AL59" s="8"/>
      <c r="AM59" s="8"/>
      <c r="AN59" s="8"/>
      <c r="AO59" s="299"/>
      <c r="AP59" s="8"/>
      <c r="AQ59" s="8"/>
      <c r="AR59" s="8"/>
      <c r="AS59" s="8"/>
      <c r="AT59" s="14"/>
    </row>
    <row r="60" spans="1:46" ht="12.95" customHeight="1" x14ac:dyDescent="0.25">
      <c r="F60" s="772"/>
      <c r="G60" s="772"/>
      <c r="H60" s="772"/>
      <c r="I60" s="772"/>
      <c r="J60" s="772"/>
      <c r="K60" s="772"/>
      <c r="L60" s="772"/>
      <c r="M60" s="772"/>
      <c r="V60" s="772"/>
      <c r="W60" s="772"/>
      <c r="X60" s="772"/>
      <c r="Y60" s="772"/>
      <c r="Z60" s="772"/>
      <c r="AA60" s="772"/>
      <c r="AB60" s="772"/>
      <c r="AC60" s="772"/>
      <c r="AH60" s="772"/>
      <c r="AI60" s="772"/>
      <c r="AJ60" s="772"/>
    </row>
    <row r="61" spans="1:46" ht="15.75" x14ac:dyDescent="0.25">
      <c r="D61" s="160" t="str">
        <f>H_Label!B306</f>
        <v>Visum Mitarbeiter:in</v>
      </c>
      <c r="E61" s="160"/>
      <c r="F61" s="773"/>
      <c r="G61" s="773"/>
      <c r="H61" s="773"/>
      <c r="I61" s="773"/>
      <c r="J61" s="773"/>
      <c r="K61" s="773"/>
      <c r="L61" s="773"/>
      <c r="M61" s="773"/>
      <c r="N61" s="160"/>
      <c r="O61" s="152"/>
      <c r="P61" s="160" t="str">
        <f>H_Label!B307</f>
        <v>Visum vorgesetzte Stelle</v>
      </c>
      <c r="Q61" s="152"/>
      <c r="R61" s="15"/>
      <c r="S61" s="160"/>
      <c r="T61" s="160"/>
      <c r="U61" s="160"/>
      <c r="V61" s="773"/>
      <c r="W61" s="773"/>
      <c r="X61" s="773"/>
      <c r="Y61" s="773"/>
      <c r="Z61" s="773"/>
      <c r="AA61" s="773"/>
      <c r="AB61" s="773"/>
      <c r="AC61" s="773"/>
      <c r="AD61" s="152"/>
      <c r="AE61" s="15"/>
      <c r="AF61" s="160" t="str">
        <f>H_Label!B308</f>
        <v>Datum</v>
      </c>
      <c r="AG61" s="15"/>
      <c r="AH61" s="773"/>
      <c r="AI61" s="773"/>
      <c r="AJ61" s="773"/>
      <c r="AK61" s="406"/>
    </row>
    <row r="62" spans="1:46" ht="12" customHeight="1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46" ht="12" customHeight="1" x14ac:dyDescent="0.25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6.5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27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3.5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2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0.100000000000001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2" customHeight="1" x14ac:dyDescent="0.25"/>
    <row r="72" spans="1:46" ht="16.5" customHeight="1" x14ac:dyDescent="0.25"/>
    <row r="73" spans="1:46" s="3" customFormat="1" ht="16.5" customHeight="1" x14ac:dyDescent="0.25">
      <c r="A73" s="258"/>
      <c r="B73" s="449"/>
      <c r="C73" s="25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"/>
      <c r="AM73" s="7"/>
      <c r="AN73" s="7"/>
      <c r="AO73" s="303"/>
      <c r="AP73" s="7"/>
      <c r="AQ73" s="7"/>
      <c r="AR73" s="7"/>
      <c r="AS73" s="7"/>
      <c r="AT73" s="7"/>
    </row>
    <row r="74" spans="1:46" s="6" customFormat="1" ht="18.75" customHeight="1" x14ac:dyDescent="0.25">
      <c r="A74" s="256"/>
      <c r="B74" s="447"/>
      <c r="C74" s="25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25"/>
      <c r="AM74" s="25"/>
      <c r="AN74" s="25"/>
      <c r="AO74" s="302"/>
      <c r="AP74" s="25"/>
      <c r="AQ74" s="25"/>
      <c r="AR74" s="25"/>
      <c r="AS74" s="25"/>
    </row>
    <row r="75" spans="1:46" s="6" customFormat="1" ht="13.5" x14ac:dyDescent="0.25">
      <c r="A75" s="256"/>
      <c r="B75" s="447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2.6" hidden="1" customHeight="1" x14ac:dyDescent="0.25">
      <c r="A76" s="256"/>
      <c r="B76" s="447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customHeight="1" x14ac:dyDescent="0.25">
      <c r="A77" s="256"/>
      <c r="B77" s="447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</sheetData>
  <sheetProtection algorithmName="SHA-512" hashValue="5b5QccuH8vADTHpd+g7GOeOY0dFuBw+7gOkkNV6O8aUUeKuxYuAAUG+0/izMiKajo4DEnTo7oVNLb+uhIXLQ0g==" saltValue="nN4+snybvp3TzmTpnyCiB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0:M61"/>
    <mergeCell ref="V60:AC61"/>
    <mergeCell ref="AH60:AJ61"/>
    <mergeCell ref="K53:M53"/>
    <mergeCell ref="W53:Y53"/>
    <mergeCell ref="AH53:AJ53"/>
    <mergeCell ref="F55:AJ55"/>
    <mergeCell ref="F56:AJ56"/>
    <mergeCell ref="F57:AJ57"/>
  </mergeCells>
  <conditionalFormatting sqref="D35:AJ35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6 F29:AJ29 F31:AJ32 F34:AJ48 F50:AJ51">
    <cfRule type="expression" dxfId="21" priority="17">
      <formula>F$21="ft"</formula>
    </cfRule>
  </conditionalFormatting>
  <conditionalFormatting sqref="F18:AJ21 F23:AJ27 F29:AJ32 F34:AJ48 F50:AJ51">
    <cfRule type="expression" dxfId="20" priority="8">
      <formula>AND(F$14=0,$B18=0)</formula>
    </cfRule>
  </conditionalFormatting>
  <conditionalFormatting sqref="F26:AJ27 F30:AJ30">
    <cfRule type="expression" dxfId="19" priority="10">
      <formula>OR(WEEKDAY(F$16,2)=7,F$15=2)</formula>
    </cfRule>
  </conditionalFormatting>
  <conditionalFormatting sqref="F34:AJ48 F50:AJ51 F18:AJ21 F23:AJ26 F29:AJ29 F31:AJ32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0:AJ51">
    <cfRule type="containsText" dxfId="16" priority="11" operator="containsText" text="x">
      <formula>NOT(ISERROR(SEARCH("x",F50)))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4" priority="2">
      <formula>H_fldFerienEndSaldo&lt;0</formula>
    </cfRule>
  </conditionalFormatting>
  <conditionalFormatting sqref="AG18:AJ21 AG23:AJ27 AG29:AJ32 AG34:AJ48 AG50:AJ51">
    <cfRule type="expression" dxfId="13" priority="6">
      <formula>AND(AG$14=0,$B18&lt;&gt;0)</formula>
    </cfRule>
    <cfRule type="expression" dxfId="12" priority="7">
      <formula>AG$15=2</formula>
    </cfRule>
  </conditionalFormatting>
  <conditionalFormatting sqref="AJ17:AJ21 AJ23:AJ27 AJ29:AJ32 AJ34:AJ48 AJ50:AJ51">
    <cfRule type="expression" dxfId="1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0:AJ50" xr:uid="{075D0EFC-BE92-45C9-8945-273FBA4E788C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0CA4E76-1B40-4BE2-AB7F-E0098454E10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A098100-C627-45E9-8678-236E3957A19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692FB9E5-519D-4788-9BA6-4B437E7BF499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0:AK51 F51:AJ51" xr:uid="{2FC4B410-5EE8-4D14-AAA1-72A33F37B308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EA3AC41-F2F5-47D6-8151-5634A80D5CDD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819B2E3-8343-443E-BC5A-4F1D0B3018E2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32E3B5B9-35BE-41A6-9738-49D05AFECA7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F014BC60-93EB-4B9D-BA9F-7057D032FB1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7" xr:uid="{37935107-6CDC-4959-B066-D6F83C916BC2}">
      <formula1>-4000</formula1>
    </dataValidation>
  </dataValidations>
  <hyperlinks>
    <hyperlink ref="AJ12" location="Jahresauswertung!H3" display="." xr:uid="{75CD5519-8D8F-45B0-A9DE-E5B5466CE8C6}"/>
  </hyperlinks>
  <printOptions horizontalCentered="1"/>
  <pageMargins left="0.196850393700787" right="0.196850393700787" top="0.196850393700787" bottom="0.196850393700787" header="0" footer="0.196850393700787"/>
  <pageSetup paperSize="9" scale="78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83574E9-041F-4964-A8F0-706966416BBF}">
            <xm:f>Jahresauswertung!$X$30=0</xm:f>
            <x14:dxf>
              <font>
                <b val="0"/>
                <i val="0"/>
                <color rgb="FF92D050"/>
              </font>
            </x14:dxf>
          </x14:cfRule>
          <x14:cfRule type="expression" priority="4" id="{BB0F4798-04F4-4A26-A2EA-355776A4DE46}">
            <xm:f>Jahresauswertung!$X$30&lt;0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mAllJahr">
    <tabColor rgb="FFC00000"/>
    <pageSetUpPr fitToPage="1"/>
  </sheetPr>
  <dimension ref="A1:AI56"/>
  <sheetViews>
    <sheetView showGridLines="0" showZeros="0" tabSelected="1" topLeftCell="B1" zoomScale="120" zoomScaleNormal="120" zoomScaleSheetLayoutView="100" workbookViewId="0">
      <pane ySplit="1" topLeftCell="A2" activePane="bottomLeft" state="frozen"/>
      <selection pane="bottomLeft" activeCell="C49" sqref="C49:J50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812"/>
      <c r="C1" s="813"/>
      <c r="D1" s="813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36"/>
      <c r="AD1" s="36"/>
      <c r="AE1" s="36"/>
      <c r="AF1" s="36"/>
      <c r="AG1" s="36"/>
      <c r="AH1" s="490"/>
    </row>
    <row r="2" spans="2:34" ht="20.45" customHeight="1" x14ac:dyDescent="0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490"/>
    </row>
    <row r="3" spans="2:34" ht="23.25" x14ac:dyDescent="0.25">
      <c r="B3" s="63" t="str">
        <f>H_Label!B321</f>
        <v>Arbeitszeitkontrolle für</v>
      </c>
      <c r="C3" s="64"/>
      <c r="D3" s="64"/>
      <c r="E3" s="64"/>
      <c r="F3" s="64"/>
      <c r="G3" s="65"/>
      <c r="H3" s="814" t="str">
        <f>H_Label!B322&amp;" "&amp; A_Jahr</f>
        <v>Jahresübersicht 2024</v>
      </c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463"/>
      <c r="V3" s="820" t="str">
        <f>Basisblatt!$G$3</f>
        <v>Maler Muster GmbH</v>
      </c>
      <c r="W3" s="820"/>
      <c r="X3" s="820"/>
      <c r="Y3" s="820"/>
      <c r="Z3" s="820"/>
      <c r="AA3" s="820"/>
      <c r="AB3" s="820"/>
      <c r="AC3" s="820"/>
      <c r="AD3" s="820"/>
      <c r="AE3" s="32"/>
      <c r="AF3" s="32"/>
      <c r="AG3" s="61"/>
      <c r="AH3" s="490"/>
    </row>
    <row r="4" spans="2:34" ht="15.6" customHeight="1" x14ac:dyDescent="0.2">
      <c r="B4" s="823" t="str">
        <f>Basisblatt!G6</f>
        <v>Maximilian Muster</v>
      </c>
      <c r="C4" s="824"/>
      <c r="D4" s="824"/>
      <c r="E4" s="824"/>
      <c r="F4" s="824"/>
      <c r="G4" s="825"/>
      <c r="H4" s="816"/>
      <c r="I4" s="817"/>
      <c r="J4" s="817"/>
      <c r="K4" s="817"/>
      <c r="L4" s="817"/>
      <c r="M4" s="817"/>
      <c r="N4" s="817"/>
      <c r="O4" s="817"/>
      <c r="P4" s="817"/>
      <c r="Q4" s="817"/>
      <c r="R4" s="817"/>
      <c r="S4" s="817"/>
      <c r="T4" s="817"/>
      <c r="U4" s="464"/>
      <c r="V4" s="821"/>
      <c r="W4" s="821"/>
      <c r="X4" s="821"/>
      <c r="Y4" s="821"/>
      <c r="Z4" s="821"/>
      <c r="AA4" s="821"/>
      <c r="AB4" s="821"/>
      <c r="AC4" s="821"/>
      <c r="AD4" s="821"/>
      <c r="AE4" s="169"/>
      <c r="AF4" s="169"/>
      <c r="AG4" s="170"/>
      <c r="AH4" s="490"/>
    </row>
    <row r="5" spans="2:34" ht="15.6" customHeight="1" x14ac:dyDescent="0.2">
      <c r="B5" s="826"/>
      <c r="C5" s="827"/>
      <c r="D5" s="827"/>
      <c r="E5" s="827"/>
      <c r="F5" s="827"/>
      <c r="G5" s="828"/>
      <c r="H5" s="818"/>
      <c r="I5" s="819"/>
      <c r="J5" s="819"/>
      <c r="K5" s="819"/>
      <c r="L5" s="819"/>
      <c r="M5" s="819"/>
      <c r="N5" s="819"/>
      <c r="O5" s="819"/>
      <c r="P5" s="819"/>
      <c r="Q5" s="819"/>
      <c r="R5" s="819"/>
      <c r="S5" s="819"/>
      <c r="T5" s="819"/>
      <c r="U5" s="465"/>
      <c r="V5" s="822"/>
      <c r="W5" s="822"/>
      <c r="X5" s="822"/>
      <c r="Y5" s="822"/>
      <c r="Z5" s="822"/>
      <c r="AA5" s="822"/>
      <c r="AB5" s="822"/>
      <c r="AC5" s="822"/>
      <c r="AD5" s="822"/>
      <c r="AE5" s="466"/>
      <c r="AF5" s="466"/>
      <c r="AG5" s="467"/>
      <c r="AH5" s="490"/>
    </row>
    <row r="6" spans="2:34" ht="12.75" customHeight="1" x14ac:dyDescent="0.2">
      <c r="B6" s="833" t="str">
        <f>H_Label!B325</f>
        <v>Zusammenstellung</v>
      </c>
      <c r="C6" s="834"/>
      <c r="D6" s="834"/>
      <c r="E6" s="834"/>
      <c r="F6" s="834"/>
      <c r="G6" s="835"/>
      <c r="H6" s="829" t="str">
        <f>H_Label!B72</f>
        <v>Jan</v>
      </c>
      <c r="I6" s="830"/>
      <c r="J6" s="829" t="str">
        <f>H_Label!B73</f>
        <v>Feb</v>
      </c>
      <c r="K6" s="830"/>
      <c r="L6" s="829" t="str">
        <f>H_Label!B74</f>
        <v>Mrz</v>
      </c>
      <c r="M6" s="830"/>
      <c r="N6" s="829" t="str">
        <f>H_Label!B75</f>
        <v>Apr</v>
      </c>
      <c r="O6" s="830"/>
      <c r="P6" s="829" t="str">
        <f>H_Label!B76</f>
        <v>Mai</v>
      </c>
      <c r="Q6" s="830"/>
      <c r="R6" s="829" t="str">
        <f>H_Label!B77</f>
        <v>Jun</v>
      </c>
      <c r="S6" s="830"/>
      <c r="T6" s="829" t="str">
        <f>H_Label!B78</f>
        <v>Jul</v>
      </c>
      <c r="U6" s="830"/>
      <c r="V6" s="829" t="str">
        <f>H_Label!B79</f>
        <v>Aug</v>
      </c>
      <c r="W6" s="830"/>
      <c r="X6" s="829" t="str">
        <f>H_Label!B80</f>
        <v>Sep</v>
      </c>
      <c r="Y6" s="830"/>
      <c r="Z6" s="829" t="str">
        <f>H_Label!B81</f>
        <v>Okt</v>
      </c>
      <c r="AA6" s="830"/>
      <c r="AB6" s="829" t="str">
        <f>H_Label!B82</f>
        <v>Nov</v>
      </c>
      <c r="AC6" s="830"/>
      <c r="AD6" s="829" t="str">
        <f>H_Label!B83</f>
        <v>Dez</v>
      </c>
      <c r="AE6" s="830"/>
      <c r="AF6" s="836" t="str">
        <f>H_Label!B49</f>
        <v>Jahr</v>
      </c>
      <c r="AG6" s="837"/>
      <c r="AH6" s="13"/>
    </row>
    <row r="7" spans="2:34" ht="17.100000000000001" customHeight="1" x14ac:dyDescent="0.2">
      <c r="B7" s="496" t="str">
        <f>H_Label!B328</f>
        <v>Anstellung %</v>
      </c>
      <c r="C7" s="831"/>
      <c r="D7" s="831"/>
      <c r="E7" s="831"/>
      <c r="F7" s="831"/>
      <c r="G7" s="832"/>
      <c r="H7" s="838">
        <f>H_MNT!$J$48</f>
        <v>1</v>
      </c>
      <c r="I7" s="811"/>
      <c r="J7" s="810">
        <f>H_MNT!$K$48</f>
        <v>1</v>
      </c>
      <c r="K7" s="811"/>
      <c r="L7" s="810">
        <f>H_MNT!$L$48</f>
        <v>1</v>
      </c>
      <c r="M7" s="811"/>
      <c r="N7" s="810">
        <f>H_MNT!$M$48</f>
        <v>1</v>
      </c>
      <c r="O7" s="811"/>
      <c r="P7" s="810">
        <f>H_MNT!$N$48</f>
        <v>1</v>
      </c>
      <c r="Q7" s="811"/>
      <c r="R7" s="810">
        <f>H_MNT!$O$48</f>
        <v>1</v>
      </c>
      <c r="S7" s="811"/>
      <c r="T7" s="810">
        <f>H_MNT!$P$48</f>
        <v>1</v>
      </c>
      <c r="U7" s="811"/>
      <c r="V7" s="810">
        <f>H_MNT!$Q$48</f>
        <v>1</v>
      </c>
      <c r="W7" s="811"/>
      <c r="X7" s="810">
        <f>H_MNT!$R$48</f>
        <v>1</v>
      </c>
      <c r="Y7" s="811"/>
      <c r="Z7" s="810">
        <f>H_MNT!$S$48</f>
        <v>1</v>
      </c>
      <c r="AA7" s="811"/>
      <c r="AB7" s="810">
        <f>H_MNT!$T$48</f>
        <v>1</v>
      </c>
      <c r="AC7" s="811"/>
      <c r="AD7" s="810">
        <f>H_MNT!$U$48</f>
        <v>1</v>
      </c>
      <c r="AE7" s="811"/>
      <c r="AF7" s="839">
        <f>SUM(H7:AE7)/12</f>
        <v>1</v>
      </c>
      <c r="AG7" s="840"/>
      <c r="AH7" s="13"/>
    </row>
    <row r="8" spans="2:34" ht="12" customHeight="1" x14ac:dyDescent="0.2">
      <c r="B8" s="886" t="str">
        <f>H_Label!B331</f>
        <v>Sollstunden gemäss GAV</v>
      </c>
      <c r="C8" s="887"/>
      <c r="D8" s="887"/>
      <c r="E8" s="887"/>
      <c r="F8" s="887"/>
      <c r="G8" s="888"/>
      <c r="H8" s="841">
        <f>H_MNT!$J$60</f>
        <v>184</v>
      </c>
      <c r="I8" s="842"/>
      <c r="J8" s="843">
        <f>H_MNT!$K$60</f>
        <v>168</v>
      </c>
      <c r="K8" s="842"/>
      <c r="L8" s="843">
        <f>H_MNT!$L$60</f>
        <v>168</v>
      </c>
      <c r="M8" s="842"/>
      <c r="N8" s="843">
        <f>H_MNT!$M$60</f>
        <v>176</v>
      </c>
      <c r="O8" s="842"/>
      <c r="P8" s="843">
        <f>H_MNT!$N$60</f>
        <v>184</v>
      </c>
      <c r="Q8" s="842"/>
      <c r="R8" s="843">
        <f>H_MNT!$O$60</f>
        <v>160</v>
      </c>
      <c r="S8" s="842"/>
      <c r="T8" s="843">
        <f>H_MNT!$P$60</f>
        <v>184</v>
      </c>
      <c r="U8" s="842"/>
      <c r="V8" s="843">
        <f>H_MNT!$Q$60</f>
        <v>176</v>
      </c>
      <c r="W8" s="842"/>
      <c r="X8" s="843">
        <f>H_MNT!$R$60</f>
        <v>168</v>
      </c>
      <c r="Y8" s="842"/>
      <c r="Z8" s="843">
        <f>H_MNT!$S$60</f>
        <v>184</v>
      </c>
      <c r="AA8" s="842"/>
      <c r="AB8" s="843">
        <f>H_MNT!$T$60</f>
        <v>168</v>
      </c>
      <c r="AC8" s="842"/>
      <c r="AD8" s="843">
        <f>H_MNT!$U$60</f>
        <v>176</v>
      </c>
      <c r="AE8" s="842"/>
      <c r="AF8" s="844">
        <f>SUM(H8:AE8)</f>
        <v>2096</v>
      </c>
      <c r="AG8" s="845"/>
      <c r="AH8" s="13"/>
    </row>
    <row r="9" spans="2:34" ht="12" customHeight="1" x14ac:dyDescent="0.2">
      <c r="B9" s="468" t="str">
        <f>H_Label!B333</f>
        <v>Produktive Stunden</v>
      </c>
      <c r="C9" s="850" t="str">
        <f>H_Label!B334</f>
        <v>Tagarbeit 06.00 - 20.00 Uhr</v>
      </c>
      <c r="D9" s="850"/>
      <c r="E9" s="850"/>
      <c r="F9" s="850"/>
      <c r="G9" s="851"/>
      <c r="H9" s="852">
        <f>H_MNT!J82</f>
        <v>0</v>
      </c>
      <c r="I9" s="847"/>
      <c r="J9" s="846">
        <f>H_MNT!K82</f>
        <v>0</v>
      </c>
      <c r="K9" s="847"/>
      <c r="L9" s="846">
        <f>H_MNT!L82</f>
        <v>0</v>
      </c>
      <c r="M9" s="847"/>
      <c r="N9" s="846">
        <f>H_MNT!M82</f>
        <v>0</v>
      </c>
      <c r="O9" s="847"/>
      <c r="P9" s="846">
        <f>H_MNT!N82</f>
        <v>0</v>
      </c>
      <c r="Q9" s="847"/>
      <c r="R9" s="846">
        <f>H_MNT!O82</f>
        <v>0</v>
      </c>
      <c r="S9" s="847"/>
      <c r="T9" s="846">
        <f>H_MNT!P82</f>
        <v>0</v>
      </c>
      <c r="U9" s="847"/>
      <c r="V9" s="846">
        <f>H_MNT!Q82</f>
        <v>0</v>
      </c>
      <c r="W9" s="847"/>
      <c r="X9" s="846">
        <f>H_MNT!R82</f>
        <v>0</v>
      </c>
      <c r="Y9" s="847"/>
      <c r="Z9" s="846">
        <f>H_MNT!S82</f>
        <v>0</v>
      </c>
      <c r="AA9" s="847"/>
      <c r="AB9" s="846">
        <f>H_MNT!T82</f>
        <v>0</v>
      </c>
      <c r="AC9" s="847"/>
      <c r="AD9" s="846">
        <f>H_MNT!U82</f>
        <v>0</v>
      </c>
      <c r="AE9" s="847"/>
      <c r="AF9" s="848">
        <f>H_MNT!V82</f>
        <v>0</v>
      </c>
      <c r="AG9" s="849"/>
      <c r="AH9" s="13"/>
    </row>
    <row r="10" spans="2:34" ht="12" customHeight="1" x14ac:dyDescent="0.2">
      <c r="B10" s="469" t="str">
        <f>H_Label!B335</f>
        <v>.</v>
      </c>
      <c r="C10" s="804" t="str">
        <f>H_Label!B336</f>
        <v>Nachtarbeit 20.00 - 06.00 Uhr</v>
      </c>
      <c r="D10" s="804"/>
      <c r="E10" s="804"/>
      <c r="F10" s="804"/>
      <c r="G10" s="805"/>
      <c r="H10" s="806">
        <f>H_MNT!J81</f>
        <v>0</v>
      </c>
      <c r="I10" s="801"/>
      <c r="J10" s="800">
        <f>H_MNT!K81</f>
        <v>0</v>
      </c>
      <c r="K10" s="801"/>
      <c r="L10" s="800">
        <f>H_MNT!L81</f>
        <v>0</v>
      </c>
      <c r="M10" s="801"/>
      <c r="N10" s="800">
        <f>H_MNT!M81</f>
        <v>0</v>
      </c>
      <c r="O10" s="801"/>
      <c r="P10" s="800">
        <f>H_MNT!N81</f>
        <v>0</v>
      </c>
      <c r="Q10" s="801"/>
      <c r="R10" s="800">
        <f>H_MNT!O81</f>
        <v>0</v>
      </c>
      <c r="S10" s="801"/>
      <c r="T10" s="800">
        <f>H_MNT!P81</f>
        <v>0</v>
      </c>
      <c r="U10" s="801"/>
      <c r="V10" s="800">
        <f>H_MNT!Q81</f>
        <v>0</v>
      </c>
      <c r="W10" s="801"/>
      <c r="X10" s="800">
        <f>H_MNT!R81</f>
        <v>0</v>
      </c>
      <c r="Y10" s="801"/>
      <c r="Z10" s="800">
        <f>H_MNT!S81</f>
        <v>0</v>
      </c>
      <c r="AA10" s="801"/>
      <c r="AB10" s="800">
        <f>H_MNT!T81</f>
        <v>0</v>
      </c>
      <c r="AC10" s="801"/>
      <c r="AD10" s="800">
        <f>H_MNT!U81</f>
        <v>0</v>
      </c>
      <c r="AE10" s="801"/>
      <c r="AF10" s="853">
        <f>H_MNT!V81</f>
        <v>0</v>
      </c>
      <c r="AG10" s="854"/>
      <c r="AH10" s="13"/>
    </row>
    <row r="11" spans="2:34" ht="12" customHeight="1" x14ac:dyDescent="0.2">
      <c r="B11" s="468" t="str">
        <f>H_Label!B338</f>
        <v>Zeitzuschläge</v>
      </c>
      <c r="C11" s="850" t="str">
        <f>H_Label!B339</f>
        <v>aus Überschreitung Höchstarbeitszeit</v>
      </c>
      <c r="D11" s="850"/>
      <c r="E11" s="850"/>
      <c r="F11" s="850"/>
      <c r="G11" s="851"/>
      <c r="H11" s="852">
        <f>H_MNT!J122</f>
        <v>0</v>
      </c>
      <c r="I11" s="847"/>
      <c r="J11" s="846">
        <f>H_MNT!K122</f>
        <v>0</v>
      </c>
      <c r="K11" s="847"/>
      <c r="L11" s="846">
        <f>H_MNT!L122</f>
        <v>0</v>
      </c>
      <c r="M11" s="847"/>
      <c r="N11" s="846">
        <f>H_MNT!M122</f>
        <v>0</v>
      </c>
      <c r="O11" s="847"/>
      <c r="P11" s="846">
        <f>H_MNT!N122</f>
        <v>0</v>
      </c>
      <c r="Q11" s="847"/>
      <c r="R11" s="846">
        <f>H_MNT!O122</f>
        <v>0</v>
      </c>
      <c r="S11" s="847"/>
      <c r="T11" s="846">
        <f>H_MNT!P122</f>
        <v>0</v>
      </c>
      <c r="U11" s="847"/>
      <c r="V11" s="846">
        <f>H_MNT!Q122</f>
        <v>0</v>
      </c>
      <c r="W11" s="847"/>
      <c r="X11" s="846">
        <f>H_MNT!R122</f>
        <v>0</v>
      </c>
      <c r="Y11" s="847"/>
      <c r="Z11" s="846">
        <f>H_MNT!S122</f>
        <v>0</v>
      </c>
      <c r="AA11" s="847"/>
      <c r="AB11" s="846">
        <f>H_MNT!T122</f>
        <v>0</v>
      </c>
      <c r="AC11" s="847"/>
      <c r="AD11" s="846">
        <f>H_MNT!U122</f>
        <v>0</v>
      </c>
      <c r="AE11" s="847"/>
      <c r="AF11" s="848">
        <f>SUM(H11:AE11)</f>
        <v>0</v>
      </c>
      <c r="AG11" s="849"/>
      <c r="AH11" s="13"/>
    </row>
    <row r="12" spans="2:34" ht="12" customHeight="1" x14ac:dyDescent="0.2">
      <c r="B12" s="469" t="str">
        <f>H_Label!B340</f>
        <v>.</v>
      </c>
      <c r="C12" s="804" t="str">
        <f>H_Label!B341</f>
        <v>aus Nacht-, Sonn-, Feiertagsarbeiten</v>
      </c>
      <c r="D12" s="804"/>
      <c r="E12" s="804"/>
      <c r="F12" s="804"/>
      <c r="G12" s="805"/>
      <c r="H12" s="806">
        <f>SUM(H_MNT!J124,H_MNT!J125)</f>
        <v>0</v>
      </c>
      <c r="I12" s="801"/>
      <c r="J12" s="800">
        <f>SUM(H_MNT!K124,H_MNT!K125)</f>
        <v>0</v>
      </c>
      <c r="K12" s="801"/>
      <c r="L12" s="800">
        <f>SUM(H_MNT!L124,H_MNT!L125)</f>
        <v>0</v>
      </c>
      <c r="M12" s="801"/>
      <c r="N12" s="800">
        <f>SUM(H_MNT!M124,H_MNT!M125)</f>
        <v>0</v>
      </c>
      <c r="O12" s="801"/>
      <c r="P12" s="800">
        <f>SUM(H_MNT!N124,H_MNT!N125)</f>
        <v>0</v>
      </c>
      <c r="Q12" s="801"/>
      <c r="R12" s="800">
        <f>SUM(H_MNT!O124,H_MNT!O125)</f>
        <v>0</v>
      </c>
      <c r="S12" s="801"/>
      <c r="T12" s="800">
        <f>SUM(H_MNT!P124,H_MNT!P125)</f>
        <v>0</v>
      </c>
      <c r="U12" s="801"/>
      <c r="V12" s="800">
        <f>SUM(H_MNT!Q124,H_MNT!Q125)</f>
        <v>0</v>
      </c>
      <c r="W12" s="801"/>
      <c r="X12" s="800">
        <f>SUM(H_MNT!R124,H_MNT!R125)</f>
        <v>0</v>
      </c>
      <c r="Y12" s="801"/>
      <c r="Z12" s="800">
        <f>SUM(H_MNT!S124,H_MNT!S125)</f>
        <v>0</v>
      </c>
      <c r="AA12" s="801"/>
      <c r="AB12" s="800">
        <f>SUM(H_MNT!T124,H_MNT!T125)</f>
        <v>0</v>
      </c>
      <c r="AC12" s="801"/>
      <c r="AD12" s="800">
        <f>SUM(H_MNT!U124,H_MNT!U125)</f>
        <v>0</v>
      </c>
      <c r="AE12" s="801"/>
      <c r="AF12" s="853">
        <f>SUM(H12:AE12)</f>
        <v>0</v>
      </c>
      <c r="AG12" s="854"/>
      <c r="AH12" s="13"/>
    </row>
    <row r="13" spans="2:34" ht="12" customHeight="1" x14ac:dyDescent="0.2">
      <c r="B13" s="889" t="str">
        <f>H_Label!B343</f>
        <v>Unproduktive Stunden</v>
      </c>
      <c r="C13" s="890"/>
      <c r="D13" s="890"/>
      <c r="E13" s="890"/>
      <c r="F13" s="890"/>
      <c r="G13" s="891"/>
      <c r="H13" s="864"/>
      <c r="I13" s="860"/>
      <c r="J13" s="859"/>
      <c r="K13" s="860"/>
      <c r="L13" s="859"/>
      <c r="M13" s="860"/>
      <c r="N13" s="859"/>
      <c r="O13" s="860"/>
      <c r="P13" s="859"/>
      <c r="Q13" s="860"/>
      <c r="R13" s="859"/>
      <c r="S13" s="860"/>
      <c r="T13" s="859"/>
      <c r="U13" s="860"/>
      <c r="V13" s="859"/>
      <c r="W13" s="860"/>
      <c r="X13" s="859"/>
      <c r="Y13" s="860"/>
      <c r="Z13" s="859"/>
      <c r="AA13" s="860"/>
      <c r="AB13" s="859"/>
      <c r="AC13" s="860"/>
      <c r="AD13" s="859"/>
      <c r="AE13" s="860"/>
      <c r="AF13" s="861"/>
      <c r="AG13" s="862"/>
      <c r="AH13" s="13"/>
    </row>
    <row r="14" spans="2:34" ht="12" customHeight="1" x14ac:dyDescent="0.2">
      <c r="B14" s="892" t="str">
        <f>H_Label!B345</f>
        <v>Feiertage Art. 12.2 GAV</v>
      </c>
      <c r="C14" s="893"/>
      <c r="D14" s="568" t="str">
        <f>IF(h_fldAnZFT&gt;9,H_Label!$B$346,"")</f>
        <v/>
      </c>
      <c r="E14" s="568"/>
      <c r="F14" s="568"/>
      <c r="G14" s="16" t="str">
        <f>H_Label!B348</f>
        <v>ft</v>
      </c>
      <c r="H14" s="863">
        <f>H_MNT!$J$172</f>
        <v>0</v>
      </c>
      <c r="I14" s="856"/>
      <c r="J14" s="855">
        <f>H_MNT!$K$172</f>
        <v>0</v>
      </c>
      <c r="K14" s="856"/>
      <c r="L14" s="855">
        <f>H_MNT!$L$172</f>
        <v>0</v>
      </c>
      <c r="M14" s="856"/>
      <c r="N14" s="855">
        <f>H_MNT!$M$172</f>
        <v>0</v>
      </c>
      <c r="O14" s="856"/>
      <c r="P14" s="855">
        <f>H_MNT!$N$172</f>
        <v>0</v>
      </c>
      <c r="Q14" s="856"/>
      <c r="R14" s="855">
        <f>H_MNT!$O$172</f>
        <v>0</v>
      </c>
      <c r="S14" s="856"/>
      <c r="T14" s="855">
        <f>H_MNT!$P$172</f>
        <v>0</v>
      </c>
      <c r="U14" s="856"/>
      <c r="V14" s="855">
        <f>H_MNT!$Q$172</f>
        <v>0</v>
      </c>
      <c r="W14" s="856"/>
      <c r="X14" s="855">
        <f>H_MNT!$R$172</f>
        <v>0</v>
      </c>
      <c r="Y14" s="856"/>
      <c r="Z14" s="855">
        <f>H_MNT!$S$172</f>
        <v>0</v>
      </c>
      <c r="AA14" s="856"/>
      <c r="AB14" s="855">
        <f>H_MNT!$T$172</f>
        <v>0</v>
      </c>
      <c r="AC14" s="856"/>
      <c r="AD14" s="855">
        <f>H_MNT!$U$172</f>
        <v>0</v>
      </c>
      <c r="AE14" s="856"/>
      <c r="AF14" s="857">
        <f>H_MNT!$V$172</f>
        <v>0</v>
      </c>
      <c r="AG14" s="858"/>
      <c r="AH14" s="13"/>
    </row>
    <row r="15" spans="2:34" ht="12" customHeight="1" x14ac:dyDescent="0.2">
      <c r="B15" s="865" t="str">
        <f>H_Label!B349</f>
        <v>Ferien Art. 12.1 GAV</v>
      </c>
      <c r="C15" s="866"/>
      <c r="D15" s="569"/>
      <c r="E15" s="569"/>
      <c r="F15" s="569"/>
      <c r="G15" s="17" t="str">
        <f>H_Label!B351</f>
        <v>f</v>
      </c>
      <c r="H15" s="798">
        <f>H_MNT!J181</f>
        <v>0</v>
      </c>
      <c r="I15" s="799"/>
      <c r="J15" s="867">
        <f>H_MNT!K181</f>
        <v>0</v>
      </c>
      <c r="K15" s="799"/>
      <c r="L15" s="867">
        <f>H_MNT!L181</f>
        <v>0</v>
      </c>
      <c r="M15" s="799"/>
      <c r="N15" s="867">
        <f>H_MNT!M181</f>
        <v>0</v>
      </c>
      <c r="O15" s="799"/>
      <c r="P15" s="867">
        <f>H_MNT!N181</f>
        <v>0</v>
      </c>
      <c r="Q15" s="799"/>
      <c r="R15" s="867">
        <f>H_MNT!O181</f>
        <v>0</v>
      </c>
      <c r="S15" s="799"/>
      <c r="T15" s="867">
        <f>H_MNT!P181</f>
        <v>0</v>
      </c>
      <c r="U15" s="799"/>
      <c r="V15" s="867">
        <f>H_MNT!Q181</f>
        <v>0</v>
      </c>
      <c r="W15" s="799"/>
      <c r="X15" s="867">
        <f>H_MNT!R181</f>
        <v>0</v>
      </c>
      <c r="Y15" s="799"/>
      <c r="Z15" s="867">
        <f>H_MNT!S181</f>
        <v>0</v>
      </c>
      <c r="AA15" s="799"/>
      <c r="AB15" s="867">
        <f>H_MNT!T181</f>
        <v>0</v>
      </c>
      <c r="AC15" s="799"/>
      <c r="AD15" s="867">
        <f>H_MNT!U181</f>
        <v>0</v>
      </c>
      <c r="AE15" s="799"/>
      <c r="AF15" s="868">
        <f>H_MNT!V181</f>
        <v>0</v>
      </c>
      <c r="AG15" s="869"/>
      <c r="AH15" s="13"/>
    </row>
    <row r="16" spans="2:34" ht="12" customHeight="1" x14ac:dyDescent="0.2">
      <c r="B16" s="571" t="str">
        <f>H_Label!B352</f>
        <v>Ferien Guthabenkorrektur</v>
      </c>
      <c r="C16" s="572"/>
      <c r="D16" s="562"/>
      <c r="E16" s="562"/>
      <c r="F16" s="562"/>
      <c r="G16" s="548"/>
      <c r="H16" s="863">
        <f>H_MNT!$J$180</f>
        <v>0</v>
      </c>
      <c r="I16" s="856"/>
      <c r="J16" s="855">
        <f>H_MNT!$K$180</f>
        <v>0</v>
      </c>
      <c r="K16" s="856"/>
      <c r="L16" s="855">
        <f>H_MNT!$L$180</f>
        <v>0</v>
      </c>
      <c r="M16" s="856"/>
      <c r="N16" s="855">
        <f>H_MNT!$M$180</f>
        <v>0</v>
      </c>
      <c r="O16" s="856"/>
      <c r="P16" s="855">
        <f>H_MNT!$N$180</f>
        <v>0</v>
      </c>
      <c r="Q16" s="856"/>
      <c r="R16" s="855">
        <f>H_MNT!$O$180</f>
        <v>0</v>
      </c>
      <c r="S16" s="856"/>
      <c r="T16" s="855">
        <f>H_MNT!$P$180</f>
        <v>0</v>
      </c>
      <c r="U16" s="856"/>
      <c r="V16" s="855">
        <f>H_MNT!$Q$180</f>
        <v>0</v>
      </c>
      <c r="W16" s="856"/>
      <c r="X16" s="855">
        <f>H_MNT!$R$180</f>
        <v>0</v>
      </c>
      <c r="Y16" s="856"/>
      <c r="Z16" s="855">
        <f>H_MNT!$S$180</f>
        <v>0</v>
      </c>
      <c r="AA16" s="856"/>
      <c r="AB16" s="855">
        <f>H_MNT!$T$180</f>
        <v>0</v>
      </c>
      <c r="AC16" s="856"/>
      <c r="AD16" s="855">
        <f>H_MNT!$U$180</f>
        <v>0</v>
      </c>
      <c r="AE16" s="856"/>
      <c r="AF16" s="857">
        <f>H_MNT!$V$180</f>
        <v>0</v>
      </c>
      <c r="AG16" s="858"/>
      <c r="AH16" s="13"/>
    </row>
    <row r="17" spans="2:35" ht="12" customHeight="1" x14ac:dyDescent="0.2">
      <c r="B17" s="865" t="str">
        <f>H_Label!B354</f>
        <v>Absenzen, Kurzabsenzen Art. 11 GAV</v>
      </c>
      <c r="C17" s="866"/>
      <c r="D17" s="569"/>
      <c r="E17" s="569"/>
      <c r="F17" s="569"/>
      <c r="G17" s="16" t="str">
        <f>H_Label!B356</f>
        <v>a</v>
      </c>
      <c r="H17" s="863">
        <f>H_MNT!$J$189</f>
        <v>0</v>
      </c>
      <c r="I17" s="856"/>
      <c r="J17" s="855">
        <f>H_MNT!$K$189</f>
        <v>0</v>
      </c>
      <c r="K17" s="856"/>
      <c r="L17" s="855">
        <f>H_MNT!$L$189</f>
        <v>0</v>
      </c>
      <c r="M17" s="856"/>
      <c r="N17" s="855">
        <f>H_MNT!$M$189</f>
        <v>0</v>
      </c>
      <c r="O17" s="856"/>
      <c r="P17" s="855">
        <f>H_MNT!$N$189</f>
        <v>0</v>
      </c>
      <c r="Q17" s="856"/>
      <c r="R17" s="855">
        <f>H_MNT!$O$189</f>
        <v>0</v>
      </c>
      <c r="S17" s="856"/>
      <c r="T17" s="855">
        <f>H_MNT!$P$189</f>
        <v>0</v>
      </c>
      <c r="U17" s="856"/>
      <c r="V17" s="855">
        <f>H_MNT!$Q$189</f>
        <v>0</v>
      </c>
      <c r="W17" s="856"/>
      <c r="X17" s="855">
        <f>H_MNT!$R$189</f>
        <v>0</v>
      </c>
      <c r="Y17" s="856"/>
      <c r="Z17" s="855">
        <f>H_MNT!$S$189</f>
        <v>0</v>
      </c>
      <c r="AA17" s="856"/>
      <c r="AB17" s="855">
        <f>H_MNT!$T$189</f>
        <v>0</v>
      </c>
      <c r="AC17" s="856"/>
      <c r="AD17" s="855">
        <f>H_MNT!$U$189</f>
        <v>0</v>
      </c>
      <c r="AE17" s="856"/>
      <c r="AF17" s="857">
        <f>H_MNT!$V$189</f>
        <v>0</v>
      </c>
      <c r="AG17" s="858"/>
      <c r="AH17" s="13"/>
    </row>
    <row r="18" spans="2:35" ht="12" customHeight="1" x14ac:dyDescent="0.2">
      <c r="B18" s="865" t="str">
        <f>H_Label!B357</f>
        <v>Krankheit Art. 13 GAV</v>
      </c>
      <c r="C18" s="866"/>
      <c r="D18" s="569"/>
      <c r="E18" s="569"/>
      <c r="F18" s="569"/>
      <c r="G18" s="17" t="str">
        <f>H_Label!B359</f>
        <v>k</v>
      </c>
      <c r="H18" s="863">
        <f>H_MNT!J190</f>
        <v>0</v>
      </c>
      <c r="I18" s="856"/>
      <c r="J18" s="855">
        <f>H_MNT!K190</f>
        <v>0</v>
      </c>
      <c r="K18" s="856"/>
      <c r="L18" s="855">
        <f>H_MNT!L190</f>
        <v>0</v>
      </c>
      <c r="M18" s="856"/>
      <c r="N18" s="855">
        <f>H_MNT!M190</f>
        <v>0</v>
      </c>
      <c r="O18" s="856"/>
      <c r="P18" s="855">
        <f>H_MNT!N190</f>
        <v>0</v>
      </c>
      <c r="Q18" s="856"/>
      <c r="R18" s="855">
        <f>H_MNT!O190</f>
        <v>0</v>
      </c>
      <c r="S18" s="856"/>
      <c r="T18" s="855">
        <f>H_MNT!P190</f>
        <v>0</v>
      </c>
      <c r="U18" s="856"/>
      <c r="V18" s="855">
        <f>H_MNT!Q190</f>
        <v>0</v>
      </c>
      <c r="W18" s="856"/>
      <c r="X18" s="855">
        <f>H_MNT!R190</f>
        <v>0</v>
      </c>
      <c r="Y18" s="856"/>
      <c r="Z18" s="855">
        <f>H_MNT!S190</f>
        <v>0</v>
      </c>
      <c r="AA18" s="856"/>
      <c r="AB18" s="855">
        <f>H_MNT!T190</f>
        <v>0</v>
      </c>
      <c r="AC18" s="856"/>
      <c r="AD18" s="855">
        <f>H_MNT!U190</f>
        <v>0</v>
      </c>
      <c r="AE18" s="856"/>
      <c r="AF18" s="857">
        <f>H_MNT!V190</f>
        <v>0</v>
      </c>
      <c r="AG18" s="858"/>
      <c r="AH18" s="13"/>
    </row>
    <row r="19" spans="2:35" ht="12" customHeight="1" x14ac:dyDescent="0.2">
      <c r="B19" s="988" t="str">
        <f>H_Label!B360</f>
        <v>davon Karenz</v>
      </c>
      <c r="C19" s="989"/>
      <c r="D19" s="569"/>
      <c r="E19" s="569"/>
      <c r="F19" s="569"/>
      <c r="G19" s="539" t="str">
        <f>H_Label!B362</f>
        <v>.</v>
      </c>
      <c r="H19" s="870">
        <f>H_MNT!J191</f>
        <v>0</v>
      </c>
      <c r="I19" s="871"/>
      <c r="J19" s="870">
        <f>H_MNT!K191</f>
        <v>0</v>
      </c>
      <c r="K19" s="871"/>
      <c r="L19" s="870">
        <f>H_MNT!L191</f>
        <v>0</v>
      </c>
      <c r="M19" s="871"/>
      <c r="N19" s="870">
        <f>H_MNT!M191</f>
        <v>0</v>
      </c>
      <c r="O19" s="871"/>
      <c r="P19" s="870">
        <f>H_MNT!N191</f>
        <v>0</v>
      </c>
      <c r="Q19" s="871"/>
      <c r="R19" s="870">
        <f>H_MNT!O191</f>
        <v>0</v>
      </c>
      <c r="S19" s="871"/>
      <c r="T19" s="870">
        <f>H_MNT!P191</f>
        <v>0</v>
      </c>
      <c r="U19" s="871"/>
      <c r="V19" s="870">
        <f>H_MNT!Q191</f>
        <v>0</v>
      </c>
      <c r="W19" s="871"/>
      <c r="X19" s="870">
        <f>H_MNT!R191</f>
        <v>0</v>
      </c>
      <c r="Y19" s="871"/>
      <c r="Z19" s="870">
        <f>H_MNT!S191</f>
        <v>0</v>
      </c>
      <c r="AA19" s="871"/>
      <c r="AB19" s="870">
        <f>H_MNT!T191</f>
        <v>0</v>
      </c>
      <c r="AC19" s="871"/>
      <c r="AD19" s="870">
        <f>H_MNT!U191</f>
        <v>0</v>
      </c>
      <c r="AE19" s="871"/>
      <c r="AF19" s="872">
        <f>H_MNT!V191</f>
        <v>0</v>
      </c>
      <c r="AG19" s="873"/>
      <c r="AH19" s="13"/>
    </row>
    <row r="20" spans="2:35" ht="12" customHeight="1" x14ac:dyDescent="0.2">
      <c r="B20" s="865" t="str">
        <f>H_Label!B363</f>
        <v>Unfall Art. 14 GAV</v>
      </c>
      <c r="C20" s="866"/>
      <c r="D20" s="569"/>
      <c r="E20" s="569"/>
      <c r="F20" s="569"/>
      <c r="G20" s="17" t="str">
        <f>H_Label!B365</f>
        <v>u</v>
      </c>
      <c r="H20" s="798">
        <f>H_MNT!J192</f>
        <v>0</v>
      </c>
      <c r="I20" s="799"/>
      <c r="J20" s="867">
        <f>H_MNT!K192</f>
        <v>0</v>
      </c>
      <c r="K20" s="799"/>
      <c r="L20" s="867">
        <f>H_MNT!L192</f>
        <v>0</v>
      </c>
      <c r="M20" s="799"/>
      <c r="N20" s="867">
        <f>H_MNT!M192</f>
        <v>0</v>
      </c>
      <c r="O20" s="799"/>
      <c r="P20" s="867">
        <f>H_MNT!N192</f>
        <v>0</v>
      </c>
      <c r="Q20" s="799"/>
      <c r="R20" s="867">
        <f>H_MNT!O192</f>
        <v>0</v>
      </c>
      <c r="S20" s="799"/>
      <c r="T20" s="867">
        <f>H_MNT!P192</f>
        <v>0</v>
      </c>
      <c r="U20" s="799"/>
      <c r="V20" s="867">
        <f>H_MNT!Q192</f>
        <v>0</v>
      </c>
      <c r="W20" s="799"/>
      <c r="X20" s="867">
        <f>H_MNT!R192</f>
        <v>0</v>
      </c>
      <c r="Y20" s="799"/>
      <c r="Z20" s="867">
        <f>H_MNT!S192</f>
        <v>0</v>
      </c>
      <c r="AA20" s="799"/>
      <c r="AB20" s="867">
        <f>H_MNT!T192</f>
        <v>0</v>
      </c>
      <c r="AC20" s="799"/>
      <c r="AD20" s="867">
        <f>H_MNT!U192</f>
        <v>0</v>
      </c>
      <c r="AE20" s="799"/>
      <c r="AF20" s="868">
        <f>H_MNT!V192</f>
        <v>0</v>
      </c>
      <c r="AG20" s="869"/>
      <c r="AH20" s="13"/>
    </row>
    <row r="21" spans="2:35" ht="12" customHeight="1" x14ac:dyDescent="0.2">
      <c r="B21" s="865" t="str">
        <f>H_Label!B366</f>
        <v>Schwanger-/Mutter-/Vaterschaft Art. 15 GAV</v>
      </c>
      <c r="C21" s="866"/>
      <c r="D21" s="569"/>
      <c r="E21" s="569"/>
      <c r="F21" s="569"/>
      <c r="G21" s="17" t="str">
        <f>H_Label!B368</f>
        <v>e</v>
      </c>
      <c r="H21" s="798">
        <f>H_MNT!J193</f>
        <v>0</v>
      </c>
      <c r="I21" s="799"/>
      <c r="J21" s="867">
        <f>H_MNT!K193</f>
        <v>0</v>
      </c>
      <c r="K21" s="799"/>
      <c r="L21" s="867">
        <f>H_MNT!L193</f>
        <v>0</v>
      </c>
      <c r="M21" s="799"/>
      <c r="N21" s="867">
        <f>H_MNT!M193</f>
        <v>0</v>
      </c>
      <c r="O21" s="799"/>
      <c r="P21" s="867">
        <f>H_MNT!N193</f>
        <v>0</v>
      </c>
      <c r="Q21" s="799"/>
      <c r="R21" s="867">
        <f>H_MNT!O193</f>
        <v>0</v>
      </c>
      <c r="S21" s="799"/>
      <c r="T21" s="867">
        <f>H_MNT!P193</f>
        <v>0</v>
      </c>
      <c r="U21" s="799"/>
      <c r="V21" s="867">
        <f>H_MNT!Q193</f>
        <v>0</v>
      </c>
      <c r="W21" s="799"/>
      <c r="X21" s="867">
        <f>H_MNT!R193</f>
        <v>0</v>
      </c>
      <c r="Y21" s="799"/>
      <c r="Z21" s="867">
        <f>H_MNT!S193</f>
        <v>0</v>
      </c>
      <c r="AA21" s="799"/>
      <c r="AB21" s="867">
        <f>H_MNT!T193</f>
        <v>0</v>
      </c>
      <c r="AC21" s="799"/>
      <c r="AD21" s="867">
        <f>H_MNT!U193</f>
        <v>0</v>
      </c>
      <c r="AE21" s="799"/>
      <c r="AF21" s="868">
        <f>H_MNT!V193</f>
        <v>0</v>
      </c>
      <c r="AG21" s="869"/>
      <c r="AH21" s="13"/>
    </row>
    <row r="22" spans="2:35" ht="12" customHeight="1" x14ac:dyDescent="0.2">
      <c r="B22" s="865" t="str">
        <f>H_Label!B369</f>
        <v>Militär/Beförderung/Zivilschutz Art. 16 GAV</v>
      </c>
      <c r="C22" s="866"/>
      <c r="D22" s="569"/>
      <c r="E22" s="569"/>
      <c r="F22" s="569"/>
      <c r="G22" s="17" t="str">
        <f>H_Label!B371</f>
        <v>m</v>
      </c>
      <c r="H22" s="798">
        <f>H_MNT!J194</f>
        <v>0</v>
      </c>
      <c r="I22" s="799"/>
      <c r="J22" s="867">
        <f>H_MNT!K194</f>
        <v>0</v>
      </c>
      <c r="K22" s="799"/>
      <c r="L22" s="867">
        <f>H_MNT!L194</f>
        <v>0</v>
      </c>
      <c r="M22" s="799"/>
      <c r="N22" s="867">
        <f>H_MNT!M194</f>
        <v>0</v>
      </c>
      <c r="O22" s="799"/>
      <c r="P22" s="867">
        <f>H_MNT!N194</f>
        <v>0</v>
      </c>
      <c r="Q22" s="799"/>
      <c r="R22" s="867">
        <f>H_MNT!O194</f>
        <v>0</v>
      </c>
      <c r="S22" s="799"/>
      <c r="T22" s="867">
        <f>H_MNT!P194</f>
        <v>0</v>
      </c>
      <c r="U22" s="799"/>
      <c r="V22" s="867">
        <f>H_MNT!Q194</f>
        <v>0</v>
      </c>
      <c r="W22" s="799"/>
      <c r="X22" s="867">
        <f>H_MNT!R194</f>
        <v>0</v>
      </c>
      <c r="Y22" s="799"/>
      <c r="Z22" s="867">
        <f>H_MNT!S194</f>
        <v>0</v>
      </c>
      <c r="AA22" s="799"/>
      <c r="AB22" s="867">
        <f>H_MNT!T194</f>
        <v>0</v>
      </c>
      <c r="AC22" s="799"/>
      <c r="AD22" s="867">
        <f>H_MNT!U194</f>
        <v>0</v>
      </c>
      <c r="AE22" s="799"/>
      <c r="AF22" s="868">
        <f>H_MNT!V194</f>
        <v>0</v>
      </c>
      <c r="AG22" s="869"/>
      <c r="AH22" s="13"/>
    </row>
    <row r="23" spans="2:35" ht="12" customHeight="1" x14ac:dyDescent="0.2">
      <c r="B23" s="865" t="str">
        <f>H_Label!B372</f>
        <v>Kurzarbeit und Schlechtwetterausfälle</v>
      </c>
      <c r="C23" s="866"/>
      <c r="D23" s="569"/>
      <c r="E23" s="569"/>
      <c r="F23" s="569"/>
      <c r="G23" s="17" t="str">
        <f>H_Label!B374</f>
        <v>ka</v>
      </c>
      <c r="H23" s="798">
        <f>H_MNT!$J197</f>
        <v>0</v>
      </c>
      <c r="I23" s="799"/>
      <c r="J23" s="867">
        <f>H_MNT!$K197</f>
        <v>0</v>
      </c>
      <c r="K23" s="799"/>
      <c r="L23" s="867">
        <f>H_MNT!$L197</f>
        <v>0</v>
      </c>
      <c r="M23" s="799"/>
      <c r="N23" s="867">
        <f>H_MNT!$M197</f>
        <v>0</v>
      </c>
      <c r="O23" s="799"/>
      <c r="P23" s="867">
        <f>H_MNT!$N197</f>
        <v>0</v>
      </c>
      <c r="Q23" s="799"/>
      <c r="R23" s="867">
        <f>H_MNT!$O197</f>
        <v>0</v>
      </c>
      <c r="S23" s="799"/>
      <c r="T23" s="867">
        <f>H_MNT!$P197</f>
        <v>0</v>
      </c>
      <c r="U23" s="799"/>
      <c r="V23" s="867">
        <f>H_MNT!$Q197</f>
        <v>0</v>
      </c>
      <c r="W23" s="799"/>
      <c r="X23" s="867">
        <f>H_MNT!$R197</f>
        <v>0</v>
      </c>
      <c r="Y23" s="799"/>
      <c r="Z23" s="867">
        <f>H_MNT!$S197</f>
        <v>0</v>
      </c>
      <c r="AA23" s="799"/>
      <c r="AB23" s="867">
        <f>H_MNT!$T197</f>
        <v>0</v>
      </c>
      <c r="AC23" s="799"/>
      <c r="AD23" s="867">
        <f>H_MNT!$U197</f>
        <v>0</v>
      </c>
      <c r="AE23" s="799"/>
      <c r="AF23" s="868">
        <f>H_MNT!$V197</f>
        <v>0</v>
      </c>
      <c r="AG23" s="869"/>
      <c r="AH23" s="13"/>
    </row>
    <row r="24" spans="2:35" ht="12" customHeight="1" x14ac:dyDescent="0.2">
      <c r="B24" s="986" t="str">
        <f>H_Label!B375</f>
        <v>betrieblich festgelegte Ausfälle</v>
      </c>
      <c r="C24" s="987"/>
      <c r="D24" s="569"/>
      <c r="E24" s="569"/>
      <c r="F24" s="569"/>
      <c r="G24" s="539" t="str">
        <f>H_Label!B377</f>
        <v>ba</v>
      </c>
      <c r="H24" s="798">
        <f>H_MNT!$J198</f>
        <v>0</v>
      </c>
      <c r="I24" s="799"/>
      <c r="J24" s="867">
        <f>H_MNT!$K198</f>
        <v>0</v>
      </c>
      <c r="K24" s="799"/>
      <c r="L24" s="867">
        <f>H_MNT!$L198</f>
        <v>0</v>
      </c>
      <c r="M24" s="799"/>
      <c r="N24" s="867">
        <f>H_MNT!$M198</f>
        <v>0</v>
      </c>
      <c r="O24" s="799"/>
      <c r="P24" s="867">
        <f>H_MNT!$N198</f>
        <v>0</v>
      </c>
      <c r="Q24" s="799"/>
      <c r="R24" s="867">
        <f>H_MNT!$O198</f>
        <v>0</v>
      </c>
      <c r="S24" s="799"/>
      <c r="T24" s="867">
        <f>H_MNT!$P198</f>
        <v>0</v>
      </c>
      <c r="U24" s="799"/>
      <c r="V24" s="867">
        <f>H_MNT!$Q198</f>
        <v>0</v>
      </c>
      <c r="W24" s="799"/>
      <c r="X24" s="867">
        <f>H_MNT!$R198</f>
        <v>0</v>
      </c>
      <c r="Y24" s="799"/>
      <c r="Z24" s="867">
        <f>H_MNT!$S198</f>
        <v>0</v>
      </c>
      <c r="AA24" s="799"/>
      <c r="AB24" s="867">
        <f>H_MNT!$T198</f>
        <v>0</v>
      </c>
      <c r="AC24" s="799"/>
      <c r="AD24" s="867">
        <f>H_MNT!$U198</f>
        <v>0</v>
      </c>
      <c r="AE24" s="799"/>
      <c r="AF24" s="868">
        <f>H_MNT!$V198</f>
        <v>0</v>
      </c>
      <c r="AG24" s="869"/>
      <c r="AH24" s="13"/>
    </row>
    <row r="25" spans="2:35" ht="12" customHeight="1" x14ac:dyDescent="0.2">
      <c r="B25" s="865" t="str">
        <f>H_Label!B379</f>
        <v>Berufsschule</v>
      </c>
      <c r="C25" s="866"/>
      <c r="D25" s="569"/>
      <c r="E25" s="569"/>
      <c r="F25" s="569"/>
      <c r="G25" s="17" t="str">
        <f>H_Label!B381</f>
        <v>bs</v>
      </c>
      <c r="H25" s="798">
        <f>H_MNT!J195</f>
        <v>0</v>
      </c>
      <c r="I25" s="799"/>
      <c r="J25" s="867">
        <f>H_MNT!K195</f>
        <v>0</v>
      </c>
      <c r="K25" s="799"/>
      <c r="L25" s="867">
        <f>H_MNT!L195</f>
        <v>0</v>
      </c>
      <c r="M25" s="799"/>
      <c r="N25" s="867">
        <f>H_MNT!M195</f>
        <v>0</v>
      </c>
      <c r="O25" s="799"/>
      <c r="P25" s="867">
        <f>H_MNT!N195</f>
        <v>0</v>
      </c>
      <c r="Q25" s="799"/>
      <c r="R25" s="867">
        <f>H_MNT!O195</f>
        <v>0</v>
      </c>
      <c r="S25" s="799"/>
      <c r="T25" s="867">
        <f>H_MNT!P195</f>
        <v>0</v>
      </c>
      <c r="U25" s="799"/>
      <c r="V25" s="867">
        <f>H_MNT!Q195</f>
        <v>0</v>
      </c>
      <c r="W25" s="799"/>
      <c r="X25" s="867">
        <f>H_MNT!R195</f>
        <v>0</v>
      </c>
      <c r="Y25" s="799"/>
      <c r="Z25" s="867">
        <f>H_MNT!S195</f>
        <v>0</v>
      </c>
      <c r="AA25" s="799"/>
      <c r="AB25" s="867">
        <f>H_MNT!T195</f>
        <v>0</v>
      </c>
      <c r="AC25" s="799"/>
      <c r="AD25" s="867">
        <f>H_MNT!U195</f>
        <v>0</v>
      </c>
      <c r="AE25" s="799"/>
      <c r="AF25" s="868">
        <f>H_MNT!V195</f>
        <v>0</v>
      </c>
      <c r="AG25" s="869"/>
      <c r="AH25" s="13"/>
    </row>
    <row r="26" spans="2:35" ht="12" customHeight="1" x14ac:dyDescent="0.2">
      <c r="B26" s="875" t="str">
        <f>H_Label!B382</f>
        <v>Kurse</v>
      </c>
      <c r="C26" s="876"/>
      <c r="D26" s="570"/>
      <c r="E26" s="570"/>
      <c r="F26" s="570"/>
      <c r="G26" s="462" t="str">
        <f>H_Label!B384</f>
        <v>ku</v>
      </c>
      <c r="H26" s="807">
        <f>H_MNT!J196</f>
        <v>0</v>
      </c>
      <c r="I26" s="808"/>
      <c r="J26" s="874">
        <f>H_MNT!K196</f>
        <v>0</v>
      </c>
      <c r="K26" s="808"/>
      <c r="L26" s="874">
        <f>H_MNT!L196</f>
        <v>0</v>
      </c>
      <c r="M26" s="808"/>
      <c r="N26" s="874">
        <f>H_MNT!M196</f>
        <v>0</v>
      </c>
      <c r="O26" s="808"/>
      <c r="P26" s="874">
        <f>H_MNT!N196</f>
        <v>0</v>
      </c>
      <c r="Q26" s="808"/>
      <c r="R26" s="874">
        <f>H_MNT!O196</f>
        <v>0</v>
      </c>
      <c r="S26" s="808"/>
      <c r="T26" s="874">
        <f>H_MNT!P196</f>
        <v>0</v>
      </c>
      <c r="U26" s="808"/>
      <c r="V26" s="874">
        <f>H_MNT!Q196</f>
        <v>0</v>
      </c>
      <c r="W26" s="808"/>
      <c r="X26" s="874">
        <f>H_MNT!R196</f>
        <v>0</v>
      </c>
      <c r="Y26" s="808"/>
      <c r="Z26" s="874">
        <f>H_MNT!S196</f>
        <v>0</v>
      </c>
      <c r="AA26" s="808"/>
      <c r="AB26" s="874">
        <f>H_MNT!T196</f>
        <v>0</v>
      </c>
      <c r="AC26" s="808"/>
      <c r="AD26" s="874">
        <f>H_MNT!U196</f>
        <v>0</v>
      </c>
      <c r="AE26" s="808"/>
      <c r="AF26" s="877">
        <f>H_MNT!V196</f>
        <v>0</v>
      </c>
      <c r="AG26" s="878"/>
      <c r="AH26" s="13"/>
    </row>
    <row r="27" spans="2:35" ht="13.5" x14ac:dyDescent="0.2">
      <c r="B27" s="470"/>
      <c r="C27" s="471"/>
      <c r="D27" s="471"/>
      <c r="E27" s="471"/>
      <c r="F27" s="471"/>
      <c r="G27" s="472"/>
      <c r="H27" s="333" t="str">
        <f>H_Label!B426</f>
        <v>regulärer Kompensationszeitraum</v>
      </c>
      <c r="I27" s="334"/>
      <c r="J27" s="334"/>
      <c r="K27" s="334"/>
      <c r="L27" s="334"/>
      <c r="M27" s="334"/>
      <c r="N27" s="334"/>
      <c r="O27" s="557"/>
      <c r="P27" s="326" t="str">
        <f>H_Label!B427</f>
        <v>Meldung an RPBK!</v>
      </c>
      <c r="Q27" s="326"/>
      <c r="R27" s="326"/>
      <c r="S27" s="326"/>
      <c r="T27" s="326"/>
      <c r="U27" s="326"/>
      <c r="V27" s="326"/>
      <c r="W27" s="326"/>
      <c r="X27" s="326"/>
      <c r="Y27" s="326"/>
      <c r="Z27" s="461" t="str">
        <f>IF(X30&lt;0,H_Label!B429,H_Label!B428)</f>
        <v>Status Kompensation</v>
      </c>
      <c r="AA27" s="459"/>
      <c r="AB27" s="459"/>
      <c r="AC27" s="459"/>
      <c r="AD27" s="459"/>
      <c r="AE27" s="459"/>
      <c r="AF27" s="458"/>
      <c r="AG27" s="460"/>
      <c r="AH27" s="13"/>
    </row>
    <row r="28" spans="2:35" ht="12" customHeight="1" x14ac:dyDescent="0.2">
      <c r="B28" s="473" t="str">
        <f>H_Label!B387</f>
        <v>Saldo Vorjahr</v>
      </c>
      <c r="C28" s="885" t="str">
        <f>H_Label!B389</f>
        <v>Kompensation Vorjahr</v>
      </c>
      <c r="D28" s="885"/>
      <c r="E28" s="885"/>
      <c r="F28" s="885"/>
      <c r="G28" s="16" t="str">
        <f>H_Label!B390</f>
        <v>kv</v>
      </c>
      <c r="H28" s="881">
        <f>H_MNT!J161</f>
        <v>0</v>
      </c>
      <c r="I28" s="880"/>
      <c r="J28" s="879">
        <f>H_MNT!K161</f>
        <v>0</v>
      </c>
      <c r="K28" s="880"/>
      <c r="L28" s="879">
        <f>H_MNT!L161</f>
        <v>0</v>
      </c>
      <c r="M28" s="880"/>
      <c r="N28" s="879">
        <f>H_MNT!M161</f>
        <v>0</v>
      </c>
      <c r="O28" s="880"/>
      <c r="P28" s="879">
        <f>H_MNT!N161</f>
        <v>0</v>
      </c>
      <c r="Q28" s="880"/>
      <c r="R28" s="879">
        <f>H_MNT!O161</f>
        <v>0</v>
      </c>
      <c r="S28" s="880"/>
      <c r="T28" s="879">
        <f>H_MNT!P161</f>
        <v>0</v>
      </c>
      <c r="U28" s="880"/>
      <c r="V28" s="879">
        <f>H_MNT!Q161</f>
        <v>0</v>
      </c>
      <c r="W28" s="880"/>
      <c r="X28" s="879">
        <f>H_MNT!R161</f>
        <v>0</v>
      </c>
      <c r="Y28" s="881"/>
      <c r="Z28" s="990" t="str">
        <f>H_Label!B432&amp;" "&amp; A_Jahr-1&amp;": "&amp;IF(B_fldSaldoVJ&gt;0,TEXT(B_fldSaldoVJ,"0.00")&amp;" "&amp;H_Label!B433,H_Label!B436)</f>
        <v>Saldoübertrag 2023: negatives Vorjahressaldo</v>
      </c>
      <c r="AA28" s="991"/>
      <c r="AB28" s="991"/>
      <c r="AC28" s="991"/>
      <c r="AD28" s="991"/>
      <c r="AE28" s="991"/>
      <c r="AF28" s="991"/>
      <c r="AG28" s="992"/>
      <c r="AH28" s="13"/>
    </row>
    <row r="29" spans="2:35" ht="12" customHeight="1" x14ac:dyDescent="0.2">
      <c r="B29" s="474"/>
      <c r="C29" s="985" t="str">
        <f>H_Label!C392</f>
        <v>Auszahlung Vorjahr</v>
      </c>
      <c r="D29" s="985"/>
      <c r="E29" s="985"/>
      <c r="F29" s="985"/>
      <c r="G29" s="462">
        <f>H_Label!C3997</f>
        <v>0</v>
      </c>
      <c r="H29" s="884">
        <f>H_MNT!J162</f>
        <v>0</v>
      </c>
      <c r="I29" s="883"/>
      <c r="J29" s="882">
        <f>H_MNT!K162</f>
        <v>0</v>
      </c>
      <c r="K29" s="883"/>
      <c r="L29" s="882">
        <f>H_MNT!L162</f>
        <v>0</v>
      </c>
      <c r="M29" s="883"/>
      <c r="N29" s="882">
        <f>H_MNT!M162</f>
        <v>0</v>
      </c>
      <c r="O29" s="883"/>
      <c r="P29" s="882">
        <f>H_MNT!N162</f>
        <v>0</v>
      </c>
      <c r="Q29" s="883"/>
      <c r="R29" s="882">
        <f>H_MNT!O162</f>
        <v>0</v>
      </c>
      <c r="S29" s="883"/>
      <c r="T29" s="882">
        <f>H_MNT!P162</f>
        <v>0</v>
      </c>
      <c r="U29" s="883"/>
      <c r="V29" s="882">
        <f>H_MNT!Q162</f>
        <v>0</v>
      </c>
      <c r="W29" s="883"/>
      <c r="X29" s="882">
        <f>H_MNT!R162</f>
        <v>0</v>
      </c>
      <c r="Y29" s="884"/>
      <c r="Z29" s="993"/>
      <c r="AA29" s="973"/>
      <c r="AB29" s="973"/>
      <c r="AC29" s="973"/>
      <c r="AD29" s="973"/>
      <c r="AE29" s="973"/>
      <c r="AF29" s="973"/>
      <c r="AG29" s="974"/>
      <c r="AH29" s="13"/>
    </row>
    <row r="30" spans="2:35" ht="12" customHeight="1" x14ac:dyDescent="0.2">
      <c r="B30" s="475" t="str">
        <f>H_Label!B391</f>
        <v>.</v>
      </c>
      <c r="C30" s="953" t="str">
        <f>H_Label!B396</f>
        <v>nach Kompensation und Auszahlung</v>
      </c>
      <c r="D30" s="953"/>
      <c r="E30" s="953"/>
      <c r="F30" s="953"/>
      <c r="G30" s="954"/>
      <c r="H30" s="940">
        <f>ROUND(IF(B_fldSaldoVJ&gt;0,B_fldSaldoVJ-H28-H29,0-H28-H29),4)</f>
        <v>0</v>
      </c>
      <c r="I30" s="939"/>
      <c r="J30" s="938">
        <f>ROUND(IF(H30="0",0,H30-J28-J29),4)</f>
        <v>0</v>
      </c>
      <c r="K30" s="939"/>
      <c r="L30" s="938">
        <f>ROUND(IF(J30="0",0,J30-L28-L29),4)</f>
        <v>0</v>
      </c>
      <c r="M30" s="939"/>
      <c r="N30" s="938">
        <f t="shared" ref="N30" si="0">ROUND(IF(L30="0",0,L30-N28-N29),4)</f>
        <v>0</v>
      </c>
      <c r="O30" s="939"/>
      <c r="P30" s="938">
        <f t="shared" ref="P30" si="1">ROUND(IF(N30="0",0,N30-P28-P29),4)</f>
        <v>0</v>
      </c>
      <c r="Q30" s="939"/>
      <c r="R30" s="938">
        <f t="shared" ref="R30" si="2">ROUND(IF(P30="0",0,P30-R28-R29),4)</f>
        <v>0</v>
      </c>
      <c r="S30" s="939"/>
      <c r="T30" s="938">
        <f t="shared" ref="T30" si="3">ROUND(IF(R30="0",0,R30-T28-T29),4)</f>
        <v>0</v>
      </c>
      <c r="U30" s="939"/>
      <c r="V30" s="938">
        <f t="shared" ref="V30" si="4">ROUND(IF(T30="0",0,T30-V28-V29),4)</f>
        <v>0</v>
      </c>
      <c r="W30" s="939"/>
      <c r="X30" s="938">
        <f t="shared" ref="X30" si="5">ROUND(IF(V30="0",0,V30-X28-X29),4)</f>
        <v>0</v>
      </c>
      <c r="Y30" s="940"/>
      <c r="Z30" s="935" t="str">
        <f>H_Label!B438&amp;" "&amp;SUM(Jahresauswertung!H28:Y28)&amp;" "&amp;H_Label!B439&amp;" "&amp;SUM(Jahresauswertung!H29:Y29)&amp;" "&amp;H_Label!B440&amp;" "&amp;TEXT(B_fldSaldoVJ-SUM(Jahresauswertung!H28:Y28)-SUM(Jahresauswertung!H29:Y29),"0.00")</f>
        <v>kompensiert:  0    ausbezahlt  0    |   Rest:  0.00</v>
      </c>
      <c r="AA30" s="936"/>
      <c r="AB30" s="936"/>
      <c r="AC30" s="936"/>
      <c r="AD30" s="936"/>
      <c r="AE30" s="936"/>
      <c r="AF30" s="936"/>
      <c r="AG30" s="937"/>
      <c r="AH30" s="13"/>
      <c r="AI30" s="493"/>
    </row>
    <row r="31" spans="2:35" ht="12" customHeight="1" x14ac:dyDescent="0.2">
      <c r="B31" s="476"/>
      <c r="C31" s="331"/>
      <c r="D31" s="331"/>
      <c r="E31" s="331"/>
      <c r="F31" s="331"/>
      <c r="G31" s="477"/>
      <c r="H31" s="481"/>
      <c r="I31" s="482"/>
      <c r="J31" s="483"/>
      <c r="K31" s="482"/>
      <c r="L31" s="483"/>
      <c r="M31" s="482"/>
      <c r="N31" s="483"/>
      <c r="O31" s="482"/>
      <c r="P31" s="483"/>
      <c r="Q31" s="482"/>
      <c r="R31" s="483"/>
      <c r="S31" s="482"/>
      <c r="T31" s="483"/>
      <c r="U31" s="482"/>
      <c r="V31" s="483"/>
      <c r="W31" s="482"/>
      <c r="X31" s="483"/>
      <c r="Y31" s="482"/>
      <c r="Z31" s="483"/>
      <c r="AA31" s="482"/>
      <c r="AB31" s="483"/>
      <c r="AC31" s="482"/>
      <c r="AD31" s="483"/>
      <c r="AE31" s="482"/>
      <c r="AF31" s="484"/>
      <c r="AG31" s="485"/>
      <c r="AH31" s="13"/>
    </row>
    <row r="32" spans="2:35" ht="12" customHeight="1" x14ac:dyDescent="0.2">
      <c r="B32" s="478"/>
      <c r="C32" s="332"/>
      <c r="D32" s="332"/>
      <c r="E32" s="332"/>
      <c r="F32" s="332"/>
      <c r="G32" s="472"/>
      <c r="H32" s="486"/>
      <c r="I32" s="487"/>
      <c r="J32" s="486"/>
      <c r="K32" s="487"/>
      <c r="L32" s="486"/>
      <c r="M32" s="487"/>
      <c r="N32" s="486"/>
      <c r="O32" s="487"/>
      <c r="P32" s="486"/>
      <c r="Q32" s="487"/>
      <c r="R32" s="486"/>
      <c r="S32" s="487"/>
      <c r="T32" s="486"/>
      <c r="U32" s="487"/>
      <c r="V32" s="486"/>
      <c r="W32" s="487"/>
      <c r="X32" s="486"/>
      <c r="Y32" s="487"/>
      <c r="Z32" s="486"/>
      <c r="AA32" s="487"/>
      <c r="AB32" s="486"/>
      <c r="AC32" s="487"/>
      <c r="AD32" s="486"/>
      <c r="AE32" s="487"/>
      <c r="AF32" s="488"/>
      <c r="AG32" s="489"/>
      <c r="AH32" s="13"/>
    </row>
    <row r="33" spans="2:35" ht="12" customHeight="1" x14ac:dyDescent="0.2">
      <c r="B33" s="479" t="str">
        <f>H_Label!B399</f>
        <v>Saldokontrolle laufendes Jahr</v>
      </c>
      <c r="C33" s="885" t="str">
        <f>H_Label!B400</f>
        <v>Kompensation laufend</v>
      </c>
      <c r="D33" s="885"/>
      <c r="E33" s="885"/>
      <c r="F33" s="885"/>
      <c r="G33" s="16" t="str">
        <f>H_Label!B401</f>
        <v>kj</v>
      </c>
      <c r="H33" s="863">
        <f>H_MNT!J163</f>
        <v>0</v>
      </c>
      <c r="I33" s="856"/>
      <c r="J33" s="855">
        <f>H_MNT!K163</f>
        <v>0</v>
      </c>
      <c r="K33" s="856"/>
      <c r="L33" s="855">
        <f>H_MNT!L163</f>
        <v>0</v>
      </c>
      <c r="M33" s="856"/>
      <c r="N33" s="855">
        <f>H_MNT!M163</f>
        <v>0</v>
      </c>
      <c r="O33" s="856"/>
      <c r="P33" s="855">
        <f>H_MNT!N163</f>
        <v>0</v>
      </c>
      <c r="Q33" s="856"/>
      <c r="R33" s="855">
        <f>H_MNT!O163</f>
        <v>0</v>
      </c>
      <c r="S33" s="856"/>
      <c r="T33" s="855">
        <f>H_MNT!P163</f>
        <v>0</v>
      </c>
      <c r="U33" s="856"/>
      <c r="V33" s="855">
        <f>H_MNT!Q163</f>
        <v>0</v>
      </c>
      <c r="W33" s="856"/>
      <c r="X33" s="855">
        <f>H_MNT!R163</f>
        <v>0</v>
      </c>
      <c r="Y33" s="856"/>
      <c r="Z33" s="855">
        <f>H_MNT!S163</f>
        <v>0</v>
      </c>
      <c r="AA33" s="856"/>
      <c r="AB33" s="855">
        <f>H_MNT!T163</f>
        <v>0</v>
      </c>
      <c r="AC33" s="856"/>
      <c r="AD33" s="855">
        <f>H_MNT!U163</f>
        <v>0</v>
      </c>
      <c r="AE33" s="856"/>
      <c r="AF33" s="855">
        <f>H_MNT!V163</f>
        <v>0</v>
      </c>
      <c r="AG33" s="856"/>
      <c r="AH33" s="13"/>
      <c r="AI33" s="493"/>
    </row>
    <row r="34" spans="2:35" ht="12" customHeight="1" x14ac:dyDescent="0.2">
      <c r="B34" s="475"/>
      <c r="C34" s="907" t="str">
        <f>H_Label!B403</f>
        <v>Auszahlung Überstunden</v>
      </c>
      <c r="D34" s="907"/>
      <c r="E34" s="907"/>
      <c r="F34" s="907"/>
      <c r="G34" s="908"/>
      <c r="H34" s="798">
        <f>H_MNT!J164</f>
        <v>0</v>
      </c>
      <c r="I34" s="799"/>
      <c r="J34" s="867">
        <f>H_MNT!K164</f>
        <v>0</v>
      </c>
      <c r="K34" s="799"/>
      <c r="L34" s="867">
        <f>H_MNT!L164</f>
        <v>0</v>
      </c>
      <c r="M34" s="799"/>
      <c r="N34" s="867">
        <f>H_MNT!M164</f>
        <v>0</v>
      </c>
      <c r="O34" s="799"/>
      <c r="P34" s="867">
        <f>H_MNT!N164</f>
        <v>0</v>
      </c>
      <c r="Q34" s="799"/>
      <c r="R34" s="867">
        <f>H_MNT!O164</f>
        <v>0</v>
      </c>
      <c r="S34" s="799"/>
      <c r="T34" s="867">
        <f>H_MNT!P164</f>
        <v>0</v>
      </c>
      <c r="U34" s="799"/>
      <c r="V34" s="867">
        <f>H_MNT!Q164</f>
        <v>0</v>
      </c>
      <c r="W34" s="799"/>
      <c r="X34" s="867">
        <f>H_MNT!R164</f>
        <v>0</v>
      </c>
      <c r="Y34" s="799"/>
      <c r="Z34" s="867">
        <f>H_MNT!S164</f>
        <v>0</v>
      </c>
      <c r="AA34" s="799"/>
      <c r="AB34" s="867">
        <f>H_MNT!T164</f>
        <v>0</v>
      </c>
      <c r="AC34" s="799"/>
      <c r="AD34" s="867">
        <f>H_MNT!U164</f>
        <v>0</v>
      </c>
      <c r="AE34" s="799"/>
      <c r="AF34" s="867">
        <f>H_MNT!V164</f>
        <v>0</v>
      </c>
      <c r="AG34" s="799"/>
      <c r="AH34" s="13"/>
      <c r="AI34" s="493"/>
    </row>
    <row r="35" spans="2:35" ht="12" customHeight="1" x14ac:dyDescent="0.2">
      <c r="B35" s="538" t="str">
        <f>H_Label!B405</f>
        <v>Unbezahlte Absenzen</v>
      </c>
      <c r="C35" s="956" t="str">
        <f>H_Label!B406</f>
        <v>Ferien unbezahlt</v>
      </c>
      <c r="D35" s="956"/>
      <c r="E35" s="956"/>
      <c r="F35" s="956"/>
      <c r="G35" s="539" t="str">
        <f>H_Label!B407</f>
        <v>fu</v>
      </c>
      <c r="H35" s="798">
        <f>H_MNT!J205</f>
        <v>0</v>
      </c>
      <c r="I35" s="799"/>
      <c r="J35" s="798">
        <f>H_MNT!K205</f>
        <v>0</v>
      </c>
      <c r="K35" s="799"/>
      <c r="L35" s="798">
        <f>H_MNT!L205</f>
        <v>0</v>
      </c>
      <c r="M35" s="799"/>
      <c r="N35" s="798">
        <f>H_MNT!M205</f>
        <v>0</v>
      </c>
      <c r="O35" s="799"/>
      <c r="P35" s="798">
        <f>H_MNT!N205</f>
        <v>0</v>
      </c>
      <c r="Q35" s="799"/>
      <c r="R35" s="798">
        <f>H_MNT!O205</f>
        <v>0</v>
      </c>
      <c r="S35" s="799"/>
      <c r="T35" s="798">
        <f>H_MNT!P205</f>
        <v>0</v>
      </c>
      <c r="U35" s="799"/>
      <c r="V35" s="798">
        <f>H_MNT!Q205</f>
        <v>0</v>
      </c>
      <c r="W35" s="799"/>
      <c r="X35" s="798">
        <f>H_MNT!R205</f>
        <v>0</v>
      </c>
      <c r="Y35" s="799"/>
      <c r="Z35" s="798">
        <f>H_MNT!S205</f>
        <v>0</v>
      </c>
      <c r="AA35" s="799"/>
      <c r="AB35" s="798">
        <f>H_MNT!T205</f>
        <v>0</v>
      </c>
      <c r="AC35" s="799"/>
      <c r="AD35" s="798">
        <f>H_MNT!U205</f>
        <v>0</v>
      </c>
      <c r="AE35" s="799"/>
      <c r="AF35" s="868">
        <f>H_MNT!V205</f>
        <v>0</v>
      </c>
      <c r="AG35" s="869"/>
      <c r="AH35" s="13"/>
      <c r="AI35" s="493"/>
    </row>
    <row r="36" spans="2:35" ht="12" customHeight="1" x14ac:dyDescent="0.2">
      <c r="B36" s="540"/>
      <c r="C36" s="955" t="str">
        <f>H_Label!B409</f>
        <v>Fehlstunden (Kontrolle)</v>
      </c>
      <c r="D36" s="955"/>
      <c r="E36" s="955"/>
      <c r="F36" s="955"/>
      <c r="G36" s="541" t="str">
        <f>H_Label!B411</f>
        <v>fe</v>
      </c>
      <c r="H36" s="807">
        <f>H_MNT!J206</f>
        <v>0</v>
      </c>
      <c r="I36" s="808"/>
      <c r="J36" s="874">
        <f>H_MNT!K206</f>
        <v>0</v>
      </c>
      <c r="K36" s="808"/>
      <c r="L36" s="874">
        <f>H_MNT!L206</f>
        <v>0</v>
      </c>
      <c r="M36" s="808"/>
      <c r="N36" s="874">
        <f>H_MNT!M206</f>
        <v>0</v>
      </c>
      <c r="O36" s="808"/>
      <c r="P36" s="874">
        <f>H_MNT!N206</f>
        <v>0</v>
      </c>
      <c r="Q36" s="808"/>
      <c r="R36" s="874">
        <f>H_MNT!O206</f>
        <v>0</v>
      </c>
      <c r="S36" s="808"/>
      <c r="T36" s="874">
        <f>H_MNT!P206</f>
        <v>0</v>
      </c>
      <c r="U36" s="808"/>
      <c r="V36" s="874">
        <f>H_MNT!Q206</f>
        <v>0</v>
      </c>
      <c r="W36" s="808"/>
      <c r="X36" s="874">
        <f>H_MNT!R206</f>
        <v>0</v>
      </c>
      <c r="Y36" s="808"/>
      <c r="Z36" s="874">
        <f>H_MNT!S206</f>
        <v>0</v>
      </c>
      <c r="AA36" s="808"/>
      <c r="AB36" s="874">
        <f>H_MNT!T206</f>
        <v>0</v>
      </c>
      <c r="AC36" s="808"/>
      <c r="AD36" s="874">
        <f>H_MNT!U206</f>
        <v>0</v>
      </c>
      <c r="AE36" s="808"/>
      <c r="AF36" s="903">
        <f>H_MNT!V206</f>
        <v>0</v>
      </c>
      <c r="AG36" s="904"/>
      <c r="AH36" s="13"/>
    </row>
    <row r="37" spans="2:35" ht="16.5" customHeight="1" x14ac:dyDescent="0.2">
      <c r="B37" s="468" t="str">
        <f>H_Label!B414</f>
        <v>Total inkl. Zeitzuschläge</v>
      </c>
      <c r="C37" s="850" t="str">
        <f>H_Label!B415</f>
        <v>Stunden produktiv &amp; unproduktiv</v>
      </c>
      <c r="D37" s="905"/>
      <c r="E37" s="905"/>
      <c r="F37" s="905"/>
      <c r="G37" s="906"/>
      <c r="H37" s="952">
        <f>SUM(H9:I10,H11:I12,H14:I15,H17:I18,H20:I26,H35)</f>
        <v>0</v>
      </c>
      <c r="I37" s="803"/>
      <c r="J37" s="802">
        <f t="shared" ref="J37" si="6">SUM(J9:K10,J11:K12,J14:K15,J17:K18,J20:K26,J35)</f>
        <v>0</v>
      </c>
      <c r="K37" s="803"/>
      <c r="L37" s="802">
        <f t="shared" ref="L37" si="7">SUM(L9:M10,L11:M12,L14:M15,L17:M18,L20:M26,L35)</f>
        <v>0</v>
      </c>
      <c r="M37" s="803"/>
      <c r="N37" s="802">
        <f t="shared" ref="N37" si="8">SUM(N9:O10,N11:O12,N14:O15,N17:O18,N20:O26,N35)</f>
        <v>0</v>
      </c>
      <c r="O37" s="803"/>
      <c r="P37" s="802">
        <f t="shared" ref="P37" si="9">SUM(P9:Q10,P11:Q12,P14:Q15,P17:Q18,P20:Q26,P35)</f>
        <v>0</v>
      </c>
      <c r="Q37" s="803"/>
      <c r="R37" s="802">
        <f t="shared" ref="R37" si="10">SUM(R9:S10,R11:S12,R14:S15,R17:S18,R20:S26,R35)</f>
        <v>0</v>
      </c>
      <c r="S37" s="803"/>
      <c r="T37" s="802">
        <f t="shared" ref="T37" si="11">SUM(T9:U10,T11:U12,T14:U15,T17:U18,T20:U26,T35)</f>
        <v>0</v>
      </c>
      <c r="U37" s="803"/>
      <c r="V37" s="802">
        <f t="shared" ref="V37" si="12">SUM(V9:W10,V11:W12,V14:W15,V17:W18,V20:W26,V35)</f>
        <v>0</v>
      </c>
      <c r="W37" s="803"/>
      <c r="X37" s="802">
        <f t="shared" ref="X37" si="13">SUM(X9:Y10,X11:Y12,X14:Y15,X17:Y18,X20:Y26,X35)</f>
        <v>0</v>
      </c>
      <c r="Y37" s="803"/>
      <c r="Z37" s="802">
        <f t="shared" ref="Z37" si="14">SUM(Z9:AA10,Z11:AA12,Z14:AA15,Z17:AA18,Z20:AA26,Z35)</f>
        <v>0</v>
      </c>
      <c r="AA37" s="803"/>
      <c r="AB37" s="802">
        <f t="shared" ref="AB37" si="15">SUM(AB9:AC10,AB11:AC12,AB14:AC15,AB17:AC18,AB20:AC26,AB35)</f>
        <v>0</v>
      </c>
      <c r="AC37" s="803"/>
      <c r="AD37" s="802">
        <f t="shared" ref="AD37" si="16">SUM(AD9:AE10,AD11:AE12,AD14:AE15,AD17:AE18,AD20:AE26,AD35)</f>
        <v>0</v>
      </c>
      <c r="AE37" s="803"/>
      <c r="AF37" s="848">
        <f>SUM(H37:AE37)</f>
        <v>0</v>
      </c>
      <c r="AG37" s="849"/>
      <c r="AH37" s="491"/>
    </row>
    <row r="38" spans="2:35" ht="27" customHeight="1" x14ac:dyDescent="0.2">
      <c r="B38" s="480" t="str">
        <f>H_Label!B417</f>
        <v>Vergleich</v>
      </c>
      <c r="C38" s="898" t="str">
        <f>H_Label!B418</f>
        <v>Stunden zu Soll-Stunden
(inkl. Vorjahresstunden)</v>
      </c>
      <c r="D38" s="898"/>
      <c r="E38" s="898"/>
      <c r="F38" s="898"/>
      <c r="G38" s="899"/>
      <c r="H38" s="900">
        <f>H37-H8+IF(B_fldSaldoVJ&lt;0,B_fldSaldoVJ,0)+H28-H34</f>
        <v>-184</v>
      </c>
      <c r="I38" s="897"/>
      <c r="J38" s="901">
        <f>IFERROR(J37-J8+J28-J34,J37-J8-J34)</f>
        <v>-168</v>
      </c>
      <c r="K38" s="902"/>
      <c r="L38" s="896">
        <f t="shared" ref="L38" si="17">IFERROR(L37-L8+L28-L34,L37-L8-L34)</f>
        <v>-168</v>
      </c>
      <c r="M38" s="897"/>
      <c r="N38" s="896">
        <f t="shared" ref="N38" si="18">IFERROR(N37-N8+N28-N34,N37-N8-N34)</f>
        <v>-176</v>
      </c>
      <c r="O38" s="897"/>
      <c r="P38" s="896">
        <f t="shared" ref="P38" si="19">IFERROR(P37-P8+P28-P34,P37-P8-P34)</f>
        <v>-184</v>
      </c>
      <c r="Q38" s="897"/>
      <c r="R38" s="896">
        <f t="shared" ref="R38" si="20">IFERROR(R37-R8+R28-R34,R37-R8-R34)</f>
        <v>-160</v>
      </c>
      <c r="S38" s="897"/>
      <c r="T38" s="896">
        <f t="shared" ref="T38" si="21">IFERROR(T37-T8+T28-T34,T37-T8-T34)</f>
        <v>-184</v>
      </c>
      <c r="U38" s="897"/>
      <c r="V38" s="896">
        <f t="shared" ref="V38" si="22">IFERROR(V37-V8+V28-V34,V37-V8-V34)</f>
        <v>-176</v>
      </c>
      <c r="W38" s="897"/>
      <c r="X38" s="896">
        <f t="shared" ref="X38" si="23">IFERROR(X37-X8+X28-X34,X37-X8-X34)</f>
        <v>-168</v>
      </c>
      <c r="Y38" s="897"/>
      <c r="Z38" s="896">
        <f t="shared" ref="Z38" si="24">IFERROR(Z37-Z8+Z28-Z34,Z37-Z8-Z34)</f>
        <v>-184</v>
      </c>
      <c r="AA38" s="897"/>
      <c r="AB38" s="896">
        <f t="shared" ref="AB38" si="25">IFERROR(AB37-AB8+AB28-AB34,AB37-AB8-AB34)</f>
        <v>-168</v>
      </c>
      <c r="AC38" s="897"/>
      <c r="AD38" s="896">
        <f t="shared" ref="AD38" si="26">IFERROR(AD37-AD8+AD28-AD34,AD37-AD8-AD34)</f>
        <v>-176</v>
      </c>
      <c r="AE38" s="897"/>
      <c r="AF38" s="894">
        <f>ROUND(SUM(H38:AE38),4)</f>
        <v>-2096</v>
      </c>
      <c r="AG38" s="895"/>
      <c r="AH38" s="491"/>
    </row>
    <row r="39" spans="2:35" ht="27" customHeight="1" x14ac:dyDescent="0.2">
      <c r="B39" s="469" t="str">
        <f>H_Label!B419</f>
        <v>.</v>
      </c>
      <c r="C39" s="804" t="str">
        <f>H_Label!B420</f>
        <v>Stunden zu Soll-Stunden 
(kumuliert)</v>
      </c>
      <c r="D39" s="804"/>
      <c r="E39" s="804"/>
      <c r="F39" s="804"/>
      <c r="G39" s="805"/>
      <c r="H39" s="806">
        <f>IF(H38=0,0,H38)</f>
        <v>-184</v>
      </c>
      <c r="I39" s="801"/>
      <c r="J39" s="800">
        <f>H39+J38</f>
        <v>-352</v>
      </c>
      <c r="K39" s="801"/>
      <c r="L39" s="800">
        <f t="shared" ref="L39" si="27">J39+L38</f>
        <v>-520</v>
      </c>
      <c r="M39" s="801"/>
      <c r="N39" s="800">
        <f t="shared" ref="N39" si="28">L39+N38</f>
        <v>-696</v>
      </c>
      <c r="O39" s="801"/>
      <c r="P39" s="800">
        <f t="shared" ref="P39" si="29">N39+P38</f>
        <v>-880</v>
      </c>
      <c r="Q39" s="801"/>
      <c r="R39" s="800">
        <f t="shared" ref="R39" si="30">P39+R38</f>
        <v>-1040</v>
      </c>
      <c r="S39" s="801"/>
      <c r="T39" s="800">
        <f t="shared" ref="T39" si="31">R39+T38</f>
        <v>-1224</v>
      </c>
      <c r="U39" s="801"/>
      <c r="V39" s="800">
        <f t="shared" ref="V39" si="32">T39+V38</f>
        <v>-1400</v>
      </c>
      <c r="W39" s="801"/>
      <c r="X39" s="800">
        <f t="shared" ref="X39" si="33">V39+X38</f>
        <v>-1568</v>
      </c>
      <c r="Y39" s="801"/>
      <c r="Z39" s="800">
        <f t="shared" ref="Z39" si="34">X39+Z38</f>
        <v>-1752</v>
      </c>
      <c r="AA39" s="801"/>
      <c r="AB39" s="800">
        <f t="shared" ref="AB39" si="35">Z39+AB38</f>
        <v>-1920</v>
      </c>
      <c r="AC39" s="801"/>
      <c r="AD39" s="800">
        <f>AB39+AD38</f>
        <v>-2096</v>
      </c>
      <c r="AE39" s="801"/>
      <c r="AF39" s="853"/>
      <c r="AG39" s="854"/>
      <c r="AH39" s="13"/>
      <c r="AI39" s="14"/>
    </row>
    <row r="40" spans="2:35" ht="14.45" customHeight="1" x14ac:dyDescent="0.2">
      <c r="B40" s="941" t="str">
        <f>H_Label!B446</f>
        <v>Ferienkontrolle</v>
      </c>
      <c r="C40" s="943" t="str">
        <f>H_Label!B447</f>
        <v>Ferienguthaben Vorjahr</v>
      </c>
      <c r="D40" s="943"/>
      <c r="E40" s="943"/>
      <c r="F40" s="943"/>
      <c r="G40" s="944"/>
      <c r="H40" s="947">
        <f>H_MNT!V178</f>
        <v>0</v>
      </c>
      <c r="I40" s="926"/>
      <c r="J40" s="889" t="str">
        <f>H_Label!B448</f>
        <v>Ferienguthaben nach GAV</v>
      </c>
      <c r="K40" s="890"/>
      <c r="L40" s="890"/>
      <c r="M40" s="891"/>
      <c r="N40" s="925">
        <f ca="1">H_MNT!V179</f>
        <v>176</v>
      </c>
      <c r="O40" s="926"/>
      <c r="P40" s="941" t="str">
        <f>H_Label!B449</f>
        <v>Ferienguthaben total</v>
      </c>
      <c r="Q40" s="943"/>
      <c r="R40" s="943"/>
      <c r="S40" s="944"/>
      <c r="T40" s="925">
        <f ca="1">ROUND(SUM(H40+N40),4)</f>
        <v>176</v>
      </c>
      <c r="U40" s="926"/>
      <c r="V40" s="941" t="str">
        <f>H_Label!B450</f>
        <v>Ferien bezogen</v>
      </c>
      <c r="W40" s="943"/>
      <c r="X40" s="943"/>
      <c r="Y40" s="944"/>
      <c r="Z40" s="925">
        <f>AF15</f>
        <v>0</v>
      </c>
      <c r="AA40" s="926"/>
      <c r="AB40" s="889" t="str">
        <f>H_Label!B451</f>
        <v>Ferien (Korrekturen)</v>
      </c>
      <c r="AC40" s="890"/>
      <c r="AD40" s="890"/>
      <c r="AE40" s="891"/>
      <c r="AF40" s="925">
        <f>H_MNT!V180</f>
        <v>0</v>
      </c>
      <c r="AG40" s="926"/>
      <c r="AH40" s="13"/>
      <c r="AI40" s="14"/>
    </row>
    <row r="41" spans="2:35" ht="14.45" customHeight="1" x14ac:dyDescent="0.2">
      <c r="B41" s="942"/>
      <c r="C41" s="945"/>
      <c r="D41" s="945"/>
      <c r="E41" s="945"/>
      <c r="F41" s="945"/>
      <c r="G41" s="946"/>
      <c r="H41" s="948"/>
      <c r="I41" s="928"/>
      <c r="J41" s="949"/>
      <c r="K41" s="950"/>
      <c r="L41" s="950"/>
      <c r="M41" s="951"/>
      <c r="N41" s="927"/>
      <c r="O41" s="928"/>
      <c r="P41" s="942"/>
      <c r="Q41" s="945"/>
      <c r="R41" s="945"/>
      <c r="S41" s="946"/>
      <c r="T41" s="927"/>
      <c r="U41" s="928"/>
      <c r="V41" s="942"/>
      <c r="W41" s="945"/>
      <c r="X41" s="945"/>
      <c r="Y41" s="946"/>
      <c r="Z41" s="927"/>
      <c r="AA41" s="928"/>
      <c r="AB41" s="949"/>
      <c r="AC41" s="950"/>
      <c r="AD41" s="950"/>
      <c r="AE41" s="951"/>
      <c r="AF41" s="927"/>
      <c r="AG41" s="928"/>
      <c r="AH41" s="13"/>
      <c r="AI41" s="14"/>
    </row>
    <row r="42" spans="2:35" ht="9.6" customHeight="1" x14ac:dyDescent="0.2">
      <c r="B42" s="909" t="str">
        <f>H_Label!$B$455</f>
        <v>Karenzkontrolle</v>
      </c>
      <c r="C42" s="911" t="str">
        <f>H_Label!$B$456</f>
        <v>Karenzstunden total</v>
      </c>
      <c r="D42" s="911"/>
      <c r="E42" s="911"/>
      <c r="F42" s="911"/>
      <c r="G42" s="912"/>
      <c r="H42" s="971">
        <f>AF19</f>
        <v>0</v>
      </c>
      <c r="I42" s="972"/>
      <c r="J42" s="975" t="str">
        <f>H_Label!$B$457</f>
        <v>mit Stunden verrechnet</v>
      </c>
      <c r="K42" s="976"/>
      <c r="L42" s="976"/>
      <c r="M42" s="977"/>
      <c r="N42" s="981"/>
      <c r="O42" s="982"/>
      <c r="P42" s="909" t="str">
        <f>H_Label!$B$458</f>
        <v>mit Lohn verrechnet</v>
      </c>
      <c r="Q42" s="911"/>
      <c r="R42" s="911"/>
      <c r="S42" s="912"/>
      <c r="T42" s="981"/>
      <c r="U42" s="982"/>
      <c r="V42" s="929" t="str">
        <f>IF(ROUND($H$42-$N$42-$T$42,2)=0,H_Label!$B$460,IF(AND($H$42=0,OR($N$42&lt;&gt;0,$T$42&lt;&gt;0)),H_Label!B461,H_Label!$B$459))</f>
        <v>Karenzstunden korrekt abgerechnet</v>
      </c>
      <c r="W42" s="930"/>
      <c r="X42" s="930"/>
      <c r="Y42" s="930"/>
      <c r="Z42" s="930"/>
      <c r="AA42" s="930"/>
      <c r="AB42" s="930"/>
      <c r="AC42" s="930"/>
      <c r="AD42" s="930"/>
      <c r="AE42" s="930"/>
      <c r="AF42" s="930"/>
      <c r="AG42" s="931"/>
      <c r="AH42" s="13"/>
      <c r="AI42" s="14"/>
    </row>
    <row r="43" spans="2:35" ht="9.6" customHeight="1" x14ac:dyDescent="0.2">
      <c r="B43" s="910"/>
      <c r="C43" s="913"/>
      <c r="D43" s="913"/>
      <c r="E43" s="913"/>
      <c r="F43" s="913"/>
      <c r="G43" s="914"/>
      <c r="H43" s="973"/>
      <c r="I43" s="974"/>
      <c r="J43" s="978"/>
      <c r="K43" s="979"/>
      <c r="L43" s="979"/>
      <c r="M43" s="980"/>
      <c r="N43" s="983"/>
      <c r="O43" s="984"/>
      <c r="P43" s="910"/>
      <c r="Q43" s="913"/>
      <c r="R43" s="913"/>
      <c r="S43" s="914"/>
      <c r="T43" s="983"/>
      <c r="U43" s="984"/>
      <c r="V43" s="932"/>
      <c r="W43" s="933"/>
      <c r="X43" s="933"/>
      <c r="Y43" s="933"/>
      <c r="Z43" s="933"/>
      <c r="AA43" s="933"/>
      <c r="AB43" s="933"/>
      <c r="AC43" s="933"/>
      <c r="AD43" s="933"/>
      <c r="AE43" s="933"/>
      <c r="AF43" s="933"/>
      <c r="AG43" s="934"/>
      <c r="AH43" s="13"/>
      <c r="AI43" s="14"/>
    </row>
    <row r="44" spans="2:35" ht="12.95" customHeight="1" x14ac:dyDescent="0.2">
      <c r="B44" s="33"/>
      <c r="C44" s="33"/>
      <c r="D44" s="33"/>
      <c r="E44" s="33"/>
      <c r="F44" s="33"/>
      <c r="G44" s="33"/>
      <c r="H44" s="544"/>
      <c r="I44" s="544"/>
      <c r="J44" s="544"/>
      <c r="K44" s="544"/>
      <c r="L44" s="544"/>
      <c r="M44" s="544"/>
      <c r="N44" s="967" t="str">
        <f>H_Label!B464&amp;" "&amp;A_Jahr+1</f>
        <v>Übertrag für das Jahr 2025</v>
      </c>
      <c r="O44" s="967"/>
      <c r="P44" s="967"/>
      <c r="Q44" s="967"/>
      <c r="R44" s="967"/>
      <c r="S44" s="967"/>
      <c r="T44" s="967"/>
      <c r="U44" s="968"/>
      <c r="V44" s="915" t="str">
        <f>H_Label!B465</f>
        <v>Stundensaldo</v>
      </c>
      <c r="W44" s="916"/>
      <c r="X44" s="916"/>
      <c r="Y44" s="917"/>
      <c r="Z44" s="921">
        <f>ROUND(AF38-N42,4)</f>
        <v>-2096</v>
      </c>
      <c r="AA44" s="922"/>
      <c r="AB44" s="957" t="str">
        <f>H_Label!B466</f>
        <v>Ferien Übertrag</v>
      </c>
      <c r="AC44" s="958"/>
      <c r="AD44" s="958"/>
      <c r="AE44" s="959"/>
      <c r="AF44" s="963">
        <f ca="1">T40-Z40+AF40</f>
        <v>176</v>
      </c>
      <c r="AG44" s="964"/>
      <c r="AH44" s="13"/>
      <c r="AI44" s="14"/>
    </row>
    <row r="45" spans="2:35" ht="12" customHeight="1" x14ac:dyDescent="0.2">
      <c r="B45" s="154"/>
      <c r="C45" s="154"/>
      <c r="D45" s="154"/>
      <c r="E45" s="154"/>
      <c r="F45" s="154"/>
      <c r="G45" s="154"/>
      <c r="H45" s="545"/>
      <c r="I45" s="545"/>
      <c r="J45" s="545"/>
      <c r="K45" s="545"/>
      <c r="L45" s="545"/>
      <c r="M45" s="545"/>
      <c r="N45" s="969"/>
      <c r="O45" s="969"/>
      <c r="P45" s="969"/>
      <c r="Q45" s="969"/>
      <c r="R45" s="969"/>
      <c r="S45" s="969"/>
      <c r="T45" s="969"/>
      <c r="U45" s="970"/>
      <c r="V45" s="918"/>
      <c r="W45" s="919"/>
      <c r="X45" s="919"/>
      <c r="Y45" s="920"/>
      <c r="Z45" s="923"/>
      <c r="AA45" s="924"/>
      <c r="AB45" s="960"/>
      <c r="AC45" s="961"/>
      <c r="AD45" s="961"/>
      <c r="AE45" s="962"/>
      <c r="AF45" s="965"/>
      <c r="AG45" s="966"/>
      <c r="AH45" s="13"/>
      <c r="AI45" s="14"/>
    </row>
    <row r="46" spans="2:35" ht="12.95" customHeight="1" x14ac:dyDescent="0.25"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490"/>
    </row>
    <row r="47" spans="2:35" ht="12.95" customHeight="1" x14ac:dyDescent="0.25"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490"/>
    </row>
    <row r="48" spans="2:35" s="92" customFormat="1" ht="24.6" customHeight="1" x14ac:dyDescent="0.2">
      <c r="B48" s="91" t="str">
        <f>H_Label!$B$475</f>
        <v>Ich habe die Jahresabrechnung kontrolliert und auf ihre Richtigkeit geprüft</v>
      </c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492"/>
    </row>
    <row r="49" spans="2:34" ht="12.95" customHeight="1" x14ac:dyDescent="0.25">
      <c r="C49" s="772"/>
      <c r="D49" s="772"/>
      <c r="E49" s="772"/>
      <c r="F49" s="772"/>
      <c r="G49" s="772"/>
      <c r="H49" s="772"/>
      <c r="I49" s="772"/>
      <c r="J49" s="772"/>
      <c r="S49" s="772"/>
      <c r="T49" s="772"/>
      <c r="U49" s="772"/>
      <c r="V49" s="772"/>
      <c r="W49" s="772"/>
      <c r="X49" s="772"/>
      <c r="Y49" s="772"/>
      <c r="Z49" s="772"/>
      <c r="AE49" s="772"/>
      <c r="AF49" s="772"/>
      <c r="AG49" s="772"/>
    </row>
    <row r="50" spans="2:34" ht="15.75" x14ac:dyDescent="0.25">
      <c r="B50" s="160" t="str">
        <f>H_Label!B44</f>
        <v>Visum Mitarbeiter:in</v>
      </c>
      <c r="C50" s="773"/>
      <c r="D50" s="773"/>
      <c r="E50" s="773"/>
      <c r="F50" s="773"/>
      <c r="G50" s="773"/>
      <c r="H50" s="773"/>
      <c r="I50" s="773"/>
      <c r="J50" s="773"/>
      <c r="K50" s="160"/>
      <c r="L50" s="152"/>
      <c r="M50" s="160" t="str">
        <f>H_Label!B45</f>
        <v>Visum vorgesetzte Stelle</v>
      </c>
      <c r="N50" s="152"/>
      <c r="O50" s="15"/>
      <c r="P50" s="160"/>
      <c r="Q50" s="160"/>
      <c r="R50" s="160"/>
      <c r="S50" s="773"/>
      <c r="T50" s="773"/>
      <c r="U50" s="773"/>
      <c r="V50" s="773"/>
      <c r="W50" s="773"/>
      <c r="X50" s="773"/>
      <c r="Y50" s="773"/>
      <c r="Z50" s="773"/>
      <c r="AA50" s="152"/>
      <c r="AB50" s="15"/>
      <c r="AC50" s="160" t="str">
        <f>H_Label!B46</f>
        <v>Datum</v>
      </c>
      <c r="AD50" s="15"/>
      <c r="AE50" s="773"/>
      <c r="AF50" s="773"/>
      <c r="AG50" s="773"/>
      <c r="AH50" s="15"/>
    </row>
    <row r="51" spans="2:34" ht="12.95" customHeight="1" x14ac:dyDescent="0.25"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490"/>
    </row>
    <row r="55" spans="2:34" ht="12.95" customHeight="1" x14ac:dyDescent="0.25">
      <c r="D55" s="537"/>
    </row>
    <row r="56" spans="2:34" ht="12.95" customHeight="1" x14ac:dyDescent="0.25">
      <c r="Q56" s="537"/>
    </row>
  </sheetData>
  <sheetProtection algorithmName="SHA-512" hashValue="zTMAbghtkxyjU5liO2iMM+9qz7Se8e/K9QlQN5hqckVbnuiOTywA6cJMODF9kUdwLkatMZeSzM2z/p14cZEzUA==" saltValue="XYMy7AkEbrB/yJn1nJZCfg==" spinCount="100000" sheet="1" objects="1" scenarios="1"/>
  <mergeCells count="466">
    <mergeCell ref="B21:C21"/>
    <mergeCell ref="R28:S28"/>
    <mergeCell ref="AB24:AC24"/>
    <mergeCell ref="AD24:AE24"/>
    <mergeCell ref="AF24:AG24"/>
    <mergeCell ref="B24:C24"/>
    <mergeCell ref="AB16:AC16"/>
    <mergeCell ref="AD16:AE16"/>
    <mergeCell ref="AF16:AG16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B19:C19"/>
    <mergeCell ref="B20:C20"/>
    <mergeCell ref="B22:C22"/>
    <mergeCell ref="Z28:AG29"/>
    <mergeCell ref="B18:C18"/>
    <mergeCell ref="N44:U45"/>
    <mergeCell ref="H42:I43"/>
    <mergeCell ref="J42:M43"/>
    <mergeCell ref="N42:O43"/>
    <mergeCell ref="P42:S43"/>
    <mergeCell ref="T42:U43"/>
    <mergeCell ref="C29:F29"/>
    <mergeCell ref="R38:S38"/>
    <mergeCell ref="P37:Q37"/>
    <mergeCell ref="R37:S37"/>
    <mergeCell ref="T37:U37"/>
    <mergeCell ref="P34:Q34"/>
    <mergeCell ref="R34:S34"/>
    <mergeCell ref="T34:U34"/>
    <mergeCell ref="J29:K29"/>
    <mergeCell ref="L29:M29"/>
    <mergeCell ref="N29:O29"/>
    <mergeCell ref="P29:Q29"/>
    <mergeCell ref="R29:S29"/>
    <mergeCell ref="T29:U29"/>
    <mergeCell ref="R39:S39"/>
    <mergeCell ref="T39:U39"/>
    <mergeCell ref="AB44:AE45"/>
    <mergeCell ref="AF44:AG45"/>
    <mergeCell ref="Z33:AA33"/>
    <mergeCell ref="AB33:AC33"/>
    <mergeCell ref="AD33:AE33"/>
    <mergeCell ref="Z34:AA34"/>
    <mergeCell ref="AB34:AC34"/>
    <mergeCell ref="AD34:AE34"/>
    <mergeCell ref="AF34:AG34"/>
    <mergeCell ref="AD39:AE39"/>
    <mergeCell ref="AF39:AG39"/>
    <mergeCell ref="AB40:AE41"/>
    <mergeCell ref="AF40:AG41"/>
    <mergeCell ref="V39:W39"/>
    <mergeCell ref="X39:Y39"/>
    <mergeCell ref="Z39:AA39"/>
    <mergeCell ref="AB39:AC39"/>
    <mergeCell ref="L39:M39"/>
    <mergeCell ref="AF33:AG33"/>
    <mergeCell ref="C30:G30"/>
    <mergeCell ref="C36:F36"/>
    <mergeCell ref="AD36:AE36"/>
    <mergeCell ref="Z36:AA36"/>
    <mergeCell ref="AB36:AC36"/>
    <mergeCell ref="J33:K33"/>
    <mergeCell ref="L33:M33"/>
    <mergeCell ref="N33:O33"/>
    <mergeCell ref="C33:F33"/>
    <mergeCell ref="C35:F35"/>
    <mergeCell ref="B40:B41"/>
    <mergeCell ref="C40:G41"/>
    <mergeCell ref="H40:I41"/>
    <mergeCell ref="J40:M41"/>
    <mergeCell ref="N40:O41"/>
    <mergeCell ref="P40:S41"/>
    <mergeCell ref="T40:U41"/>
    <mergeCell ref="V40:Y41"/>
    <mergeCell ref="H30:I30"/>
    <mergeCell ref="J30:K30"/>
    <mergeCell ref="L30:M30"/>
    <mergeCell ref="X36:Y36"/>
    <mergeCell ref="H37:I37"/>
    <mergeCell ref="X34:Y34"/>
    <mergeCell ref="R33:S33"/>
    <mergeCell ref="T33:U33"/>
    <mergeCell ref="V33:W33"/>
    <mergeCell ref="R36:S36"/>
    <mergeCell ref="T36:U36"/>
    <mergeCell ref="V36:W36"/>
    <mergeCell ref="J34:K34"/>
    <mergeCell ref="L34:M34"/>
    <mergeCell ref="N34:O34"/>
    <mergeCell ref="H33:I33"/>
    <mergeCell ref="B42:B43"/>
    <mergeCell ref="C42:G43"/>
    <mergeCell ref="V44:Y45"/>
    <mergeCell ref="Z44:AA45"/>
    <mergeCell ref="Z40:AA41"/>
    <mergeCell ref="V42:AG43"/>
    <mergeCell ref="Z30:AG30"/>
    <mergeCell ref="N30:O30"/>
    <mergeCell ref="P30:Q30"/>
    <mergeCell ref="R30:S30"/>
    <mergeCell ref="V34:W34"/>
    <mergeCell ref="X33:Y33"/>
    <mergeCell ref="P33:Q33"/>
    <mergeCell ref="Z35:AA35"/>
    <mergeCell ref="AB35:AC35"/>
    <mergeCell ref="AD35:AE35"/>
    <mergeCell ref="AF35:AG35"/>
    <mergeCell ref="T30:U30"/>
    <mergeCell ref="V30:W30"/>
    <mergeCell ref="X30:Y30"/>
    <mergeCell ref="J36:K36"/>
    <mergeCell ref="L36:M36"/>
    <mergeCell ref="N36:O36"/>
    <mergeCell ref="P36:Q36"/>
    <mergeCell ref="B8:G8"/>
    <mergeCell ref="C12:G12"/>
    <mergeCell ref="B13:G13"/>
    <mergeCell ref="B14:C14"/>
    <mergeCell ref="AF38:AG38"/>
    <mergeCell ref="T38:U38"/>
    <mergeCell ref="V38:W38"/>
    <mergeCell ref="X38:Y38"/>
    <mergeCell ref="Z38:AA38"/>
    <mergeCell ref="AB38:AC38"/>
    <mergeCell ref="AD38:AE38"/>
    <mergeCell ref="AB37:AC37"/>
    <mergeCell ref="AD37:AE37"/>
    <mergeCell ref="AF37:AG37"/>
    <mergeCell ref="C38:G38"/>
    <mergeCell ref="H38:I38"/>
    <mergeCell ref="J38:K38"/>
    <mergeCell ref="L38:M38"/>
    <mergeCell ref="N38:O38"/>
    <mergeCell ref="P38:Q38"/>
    <mergeCell ref="AF36:AG36"/>
    <mergeCell ref="C37:G37"/>
    <mergeCell ref="C34:G34"/>
    <mergeCell ref="H34:I34"/>
    <mergeCell ref="V29:W29"/>
    <mergeCell ref="X29:Y29"/>
    <mergeCell ref="C28:F28"/>
    <mergeCell ref="H28:I28"/>
    <mergeCell ref="J28:K28"/>
    <mergeCell ref="L28:M28"/>
    <mergeCell ref="N28:O28"/>
    <mergeCell ref="P28:Q28"/>
    <mergeCell ref="H29:I29"/>
    <mergeCell ref="T28:U28"/>
    <mergeCell ref="AF26:AG26"/>
    <mergeCell ref="AD25:AE25"/>
    <mergeCell ref="AF25:AG25"/>
    <mergeCell ref="V25:W25"/>
    <mergeCell ref="X25:Y25"/>
    <mergeCell ref="Z25:AA25"/>
    <mergeCell ref="AB25:AC25"/>
    <mergeCell ref="V28:W28"/>
    <mergeCell ref="X28:Y28"/>
    <mergeCell ref="B23:C23"/>
    <mergeCell ref="B25:C25"/>
    <mergeCell ref="AB23:AC23"/>
    <mergeCell ref="AD23:AE23"/>
    <mergeCell ref="H26:I26"/>
    <mergeCell ref="J26:K26"/>
    <mergeCell ref="L26:M26"/>
    <mergeCell ref="N26:O26"/>
    <mergeCell ref="P26:Q26"/>
    <mergeCell ref="R26:S26"/>
    <mergeCell ref="T26:U26"/>
    <mergeCell ref="R25:S25"/>
    <mergeCell ref="T25:U25"/>
    <mergeCell ref="H25:I25"/>
    <mergeCell ref="J25:K25"/>
    <mergeCell ref="L25:M25"/>
    <mergeCell ref="N25:O25"/>
    <mergeCell ref="P25:Q25"/>
    <mergeCell ref="B26:C26"/>
    <mergeCell ref="V26:W26"/>
    <mergeCell ref="X26:Y26"/>
    <mergeCell ref="Z26:AA26"/>
    <mergeCell ref="AB26:AC26"/>
    <mergeCell ref="AD26:AE26"/>
    <mergeCell ref="AF23:AG23"/>
    <mergeCell ref="AD22:AE22"/>
    <mergeCell ref="AF22:AG22"/>
    <mergeCell ref="H23:I23"/>
    <mergeCell ref="J23:K23"/>
    <mergeCell ref="L23:M23"/>
    <mergeCell ref="N23:O23"/>
    <mergeCell ref="P23:Q23"/>
    <mergeCell ref="R23:S23"/>
    <mergeCell ref="T23:U23"/>
    <mergeCell ref="R22:S22"/>
    <mergeCell ref="T22:U22"/>
    <mergeCell ref="V22:W22"/>
    <mergeCell ref="X22:Y22"/>
    <mergeCell ref="Z22:AA22"/>
    <mergeCell ref="AB22:AC22"/>
    <mergeCell ref="H22:I22"/>
    <mergeCell ref="J22:K22"/>
    <mergeCell ref="L22:M22"/>
    <mergeCell ref="N22:O22"/>
    <mergeCell ref="P22:Q22"/>
    <mergeCell ref="V23:W23"/>
    <mergeCell ref="X23:Y23"/>
    <mergeCell ref="Z23:AA23"/>
    <mergeCell ref="V21:W21"/>
    <mergeCell ref="X21:Y21"/>
    <mergeCell ref="Z21:AA21"/>
    <mergeCell ref="AB21:AC21"/>
    <mergeCell ref="AD21:AE21"/>
    <mergeCell ref="AF21:AG21"/>
    <mergeCell ref="AD20:AE20"/>
    <mergeCell ref="AF20:AG20"/>
    <mergeCell ref="V20:W20"/>
    <mergeCell ref="X20:Y20"/>
    <mergeCell ref="Z20:AA20"/>
    <mergeCell ref="AB20:AC20"/>
    <mergeCell ref="H21:I21"/>
    <mergeCell ref="J21:K21"/>
    <mergeCell ref="L21:M21"/>
    <mergeCell ref="N21:O21"/>
    <mergeCell ref="P21:Q21"/>
    <mergeCell ref="R21:S21"/>
    <mergeCell ref="T21:U21"/>
    <mergeCell ref="R20:S20"/>
    <mergeCell ref="T20:U20"/>
    <mergeCell ref="H20:I20"/>
    <mergeCell ref="J20:K20"/>
    <mergeCell ref="L20:M20"/>
    <mergeCell ref="N20:O20"/>
    <mergeCell ref="P20:Q20"/>
    <mergeCell ref="V19:W19"/>
    <mergeCell ref="X19:Y19"/>
    <mergeCell ref="Z19:AA19"/>
    <mergeCell ref="AB19:AC19"/>
    <mergeCell ref="AD19:AE19"/>
    <mergeCell ref="AF19:AG19"/>
    <mergeCell ref="AD18:AE18"/>
    <mergeCell ref="AF18:AG18"/>
    <mergeCell ref="H19:I19"/>
    <mergeCell ref="J19:K19"/>
    <mergeCell ref="L19:M19"/>
    <mergeCell ref="N19:O19"/>
    <mergeCell ref="P19:Q19"/>
    <mergeCell ref="R19:S19"/>
    <mergeCell ref="T19:U19"/>
    <mergeCell ref="R18:S18"/>
    <mergeCell ref="T18:U18"/>
    <mergeCell ref="V18:W18"/>
    <mergeCell ref="X18:Y18"/>
    <mergeCell ref="Z18:AA18"/>
    <mergeCell ref="AB18:AC18"/>
    <mergeCell ref="H18:I18"/>
    <mergeCell ref="J18:K18"/>
    <mergeCell ref="L18:M18"/>
    <mergeCell ref="N18:O18"/>
    <mergeCell ref="P18:Q18"/>
    <mergeCell ref="H14:I14"/>
    <mergeCell ref="J14:K14"/>
    <mergeCell ref="L14:M14"/>
    <mergeCell ref="N14:O14"/>
    <mergeCell ref="P14:Q14"/>
    <mergeCell ref="H16:I16"/>
    <mergeCell ref="J16:K16"/>
    <mergeCell ref="L16:M16"/>
    <mergeCell ref="N16:O16"/>
    <mergeCell ref="P16:Q16"/>
    <mergeCell ref="H15:I15"/>
    <mergeCell ref="J15:K15"/>
    <mergeCell ref="L15:M15"/>
    <mergeCell ref="N15:O15"/>
    <mergeCell ref="P15:Q15"/>
    <mergeCell ref="AD15:AE15"/>
    <mergeCell ref="AF15:AG15"/>
    <mergeCell ref="R15:S15"/>
    <mergeCell ref="T15:U15"/>
    <mergeCell ref="V15:W15"/>
    <mergeCell ref="X15:Y15"/>
    <mergeCell ref="Z15:AA15"/>
    <mergeCell ref="AB15:AC15"/>
    <mergeCell ref="X14:Y14"/>
    <mergeCell ref="Z14:AA14"/>
    <mergeCell ref="AB14:AC14"/>
    <mergeCell ref="AD14:AE14"/>
    <mergeCell ref="AF14:AG14"/>
    <mergeCell ref="R14:S14"/>
    <mergeCell ref="T14:U14"/>
    <mergeCell ref="V14:W14"/>
    <mergeCell ref="X17:Y17"/>
    <mergeCell ref="Z17:AA17"/>
    <mergeCell ref="B15:C15"/>
    <mergeCell ref="B17:C17"/>
    <mergeCell ref="R16:S16"/>
    <mergeCell ref="T16:U16"/>
    <mergeCell ref="V16:W16"/>
    <mergeCell ref="X16:Y16"/>
    <mergeCell ref="Z16:AA16"/>
    <mergeCell ref="AB17:AC17"/>
    <mergeCell ref="AD17:AE17"/>
    <mergeCell ref="AF17:AG17"/>
    <mergeCell ref="AD13:AE13"/>
    <mergeCell ref="AF13:AG13"/>
    <mergeCell ref="H17:I17"/>
    <mergeCell ref="J17:K17"/>
    <mergeCell ref="L17:M17"/>
    <mergeCell ref="N17:O17"/>
    <mergeCell ref="P17:Q17"/>
    <mergeCell ref="R17:S17"/>
    <mergeCell ref="T17:U17"/>
    <mergeCell ref="R13:S13"/>
    <mergeCell ref="T13:U13"/>
    <mergeCell ref="V13:W13"/>
    <mergeCell ref="X13:Y13"/>
    <mergeCell ref="Z13:AA13"/>
    <mergeCell ref="AB13:AC13"/>
    <mergeCell ref="H13:I13"/>
    <mergeCell ref="J13:K13"/>
    <mergeCell ref="L13:M13"/>
    <mergeCell ref="N13:O13"/>
    <mergeCell ref="P13:Q13"/>
    <mergeCell ref="V17:W17"/>
    <mergeCell ref="AF10:AG10"/>
    <mergeCell ref="H12:I12"/>
    <mergeCell ref="J12:K12"/>
    <mergeCell ref="L12:M12"/>
    <mergeCell ref="N12:O12"/>
    <mergeCell ref="P12:Q12"/>
    <mergeCell ref="R12:S12"/>
    <mergeCell ref="T12:U12"/>
    <mergeCell ref="R11:S11"/>
    <mergeCell ref="T11:U11"/>
    <mergeCell ref="V12:W12"/>
    <mergeCell ref="X12:Y12"/>
    <mergeCell ref="Z12:AA12"/>
    <mergeCell ref="AB12:AC12"/>
    <mergeCell ref="AD12:AE12"/>
    <mergeCell ref="AF12:AG12"/>
    <mergeCell ref="AD11:AE11"/>
    <mergeCell ref="AF11:AG11"/>
    <mergeCell ref="V11:W11"/>
    <mergeCell ref="X11:Y11"/>
    <mergeCell ref="Z11:AA11"/>
    <mergeCell ref="AB11:AC11"/>
    <mergeCell ref="AB10:AC10"/>
    <mergeCell ref="AD10:AE10"/>
    <mergeCell ref="C11:G11"/>
    <mergeCell ref="H11:I11"/>
    <mergeCell ref="J11:K11"/>
    <mergeCell ref="L11:M11"/>
    <mergeCell ref="N11:O11"/>
    <mergeCell ref="P11:Q11"/>
    <mergeCell ref="V10:W10"/>
    <mergeCell ref="X10:Y10"/>
    <mergeCell ref="Z10:AA10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C49:J50"/>
    <mergeCell ref="S49:Z50"/>
    <mergeCell ref="AE49:AG50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N39:O39"/>
    <mergeCell ref="P39:Q39"/>
    <mergeCell ref="X37:Y37"/>
    <mergeCell ref="Z37:AA37"/>
    <mergeCell ref="C39:G39"/>
    <mergeCell ref="H39:I39"/>
    <mergeCell ref="J39:K39"/>
    <mergeCell ref="V37:W37"/>
    <mergeCell ref="J37:K37"/>
    <mergeCell ref="L37:M37"/>
    <mergeCell ref="N37:O37"/>
    <mergeCell ref="H36:I36"/>
  </mergeCells>
  <conditionalFormatting sqref="B42:AG43">
    <cfRule type="expression" dxfId="8" priority="1">
      <formula>AND($AF$19=0,$N$42=0,$T$42=0)</formula>
    </cfRule>
  </conditionalFormatting>
  <conditionalFormatting sqref="H27:O27">
    <cfRule type="expression" dxfId="7" priority="10">
      <formula>$H$30=0</formula>
    </cfRule>
  </conditionalFormatting>
  <conditionalFormatting sqref="P27:Y27">
    <cfRule type="expression" dxfId="6" priority="9">
      <formula>$N$30=0</formula>
    </cfRule>
  </conditionalFormatting>
  <conditionalFormatting sqref="V42:AG43">
    <cfRule type="expression" dxfId="5" priority="2">
      <formula>ROUND($H$42-$N$42-$T$42,2)&lt;&gt;0</formula>
    </cfRule>
    <cfRule type="expression" dxfId="4" priority="3">
      <formula>ROUND($H$42-$N$42-$T$42,2)=0</formula>
    </cfRule>
  </conditionalFormatting>
  <conditionalFormatting sqref="Z27:AG27">
    <cfRule type="expression" dxfId="3" priority="5">
      <formula>$X$30&lt;0</formula>
    </cfRule>
  </conditionalFormatting>
  <conditionalFormatting sqref="Z27:AG30">
    <cfRule type="expression" dxfId="2" priority="6">
      <formula>B_fldSaldoVJ=0</formula>
    </cfRule>
    <cfRule type="expression" dxfId="1" priority="7">
      <formula>$X$30=0</formula>
    </cfRule>
    <cfRule type="expression" dxfId="0" priority="8">
      <formula>$X$30&lt;&gt;0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41" right="0.19685039370078741" top="0.19685039370078741" bottom="0.19685039370078741" header="0" footer="0.19685039370078741"/>
  <pageSetup paperSize="9" scale="8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h05jahr">
    <tabColor theme="2"/>
  </sheetPr>
  <dimension ref="B1:X4"/>
  <sheetViews>
    <sheetView workbookViewId="0">
      <selection activeCell="K13" sqref="K13:M13"/>
    </sheetView>
  </sheetViews>
  <sheetFormatPr baseColWidth="10" defaultRowHeight="12.75" x14ac:dyDescent="0.2"/>
  <sheetData>
    <row r="1" spans="2:24" x14ac:dyDescent="0.2">
      <c r="X1" s="55"/>
    </row>
    <row r="2" spans="2:24" s="244" customFormat="1" ht="32.1" customHeight="1" x14ac:dyDescent="0.2">
      <c r="B2" s="244" t="s">
        <v>515</v>
      </c>
    </row>
    <row r="4" spans="2:24" x14ac:dyDescent="0.2">
      <c r="B4" s="313" t="s">
        <v>764</v>
      </c>
    </row>
  </sheetData>
  <sheetProtection algorithmName="SHA-512" hashValue="GpElPYyL68Qeshs0JrxE3bU+Gu5U/cK95+jHCWy/vxDYyHZu/FAuV/cVudhuhvtuCh8gEFNrKdWkNRXFPl6hBQ==" saltValue="u5K9cwSnfuzWbalKaR/OI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base">
    <tabColor theme="0" tint="-4.9989318521683403E-2"/>
  </sheetPr>
  <dimension ref="B2:AT77"/>
  <sheetViews>
    <sheetView workbookViewId="0">
      <selection activeCell="K13" sqref="K13:M13"/>
    </sheetView>
  </sheetViews>
  <sheetFormatPr baseColWidth="10" defaultColWidth="3.5703125" defaultRowHeight="12.75" x14ac:dyDescent="0.2"/>
  <cols>
    <col min="2" max="2" width="4" customWidth="1"/>
    <col min="3" max="14" width="12.140625" customWidth="1"/>
    <col min="15" max="23" width="19.28515625" customWidth="1"/>
    <col min="24" max="25" width="5.140625" customWidth="1"/>
    <col min="26" max="26" width="12.5703125" customWidth="1"/>
    <col min="27" max="33" width="15.85546875" customWidth="1"/>
    <col min="34" max="41" width="12.5703125" customWidth="1"/>
    <col min="42" max="56" width="5.140625" customWidth="1"/>
    <col min="57" max="57" width="4.7109375" customWidth="1"/>
    <col min="58" max="61" width="5.140625" customWidth="1"/>
  </cols>
  <sheetData>
    <row r="2" spans="2:20" s="244" customFormat="1" ht="32.1" customHeight="1" x14ac:dyDescent="0.2">
      <c r="B2" s="244" t="s">
        <v>30</v>
      </c>
    </row>
    <row r="3" spans="2:20" ht="15.6" customHeight="1" x14ac:dyDescent="0.2"/>
    <row r="4" spans="2:20" s="11" customFormat="1" ht="18" customHeight="1" x14ac:dyDescent="0.2">
      <c r="B4" s="604" t="s">
        <v>31</v>
      </c>
      <c r="C4" s="604"/>
      <c r="D4" s="604"/>
      <c r="E4" s="605" t="s">
        <v>701</v>
      </c>
      <c r="F4" s="605"/>
      <c r="G4" s="245"/>
      <c r="H4" s="598" t="s">
        <v>1</v>
      </c>
      <c r="I4" s="598"/>
      <c r="J4" s="606">
        <f>A_Jahr</f>
        <v>2024</v>
      </c>
      <c r="K4" s="606"/>
      <c r="N4" s="607" t="s">
        <v>32</v>
      </c>
      <c r="O4" s="607"/>
      <c r="P4" s="608" t="s">
        <v>33</v>
      </c>
      <c r="Q4" s="608"/>
    </row>
    <row r="5" spans="2:20" s="11" customFormat="1" x14ac:dyDescent="0.2">
      <c r="N5" s="610" t="s">
        <v>600</v>
      </c>
      <c r="O5" s="611"/>
      <c r="P5" s="612" t="s">
        <v>772</v>
      </c>
      <c r="Q5" s="613"/>
    </row>
    <row r="6" spans="2:20" s="11" customFormat="1" ht="11.45" customHeight="1" x14ac:dyDescent="0.2">
      <c r="B6" s="46" t="s">
        <v>34</v>
      </c>
      <c r="H6" s="46" t="s">
        <v>35</v>
      </c>
    </row>
    <row r="7" spans="2:20" s="11" customFormat="1" ht="11.45" customHeight="1" x14ac:dyDescent="0.2">
      <c r="B7" s="46"/>
    </row>
    <row r="8" spans="2:20" s="11" customFormat="1" ht="11.45" customHeight="1" x14ac:dyDescent="0.2"/>
    <row r="9" spans="2:20" s="11" customFormat="1" ht="18" customHeight="1" x14ac:dyDescent="0.2">
      <c r="B9" s="599" t="s">
        <v>36</v>
      </c>
      <c r="C9" s="599"/>
      <c r="D9" s="599"/>
      <c r="E9" s="599"/>
      <c r="F9" s="601" t="str">
        <f>Basisblatt!G6</f>
        <v>Maximilian Muster</v>
      </c>
      <c r="G9" s="601"/>
      <c r="H9" s="601"/>
      <c r="I9" s="601"/>
      <c r="J9" s="601"/>
      <c r="K9" s="601"/>
      <c r="L9" s="601"/>
      <c r="M9" s="601"/>
      <c r="N9" s="601"/>
      <c r="O9" s="601"/>
    </row>
    <row r="10" spans="2:20" s="11" customFormat="1" ht="18" customHeight="1" x14ac:dyDescent="0.2">
      <c r="B10" s="599" t="s">
        <v>37</v>
      </c>
      <c r="C10" s="599"/>
      <c r="D10" s="599"/>
      <c r="E10" s="599"/>
      <c r="F10" s="600" t="str" cm="1">
        <f t="array" aca="1" ref="F10" ca="1">IF(CELL("format",Basisblatt!Q9)="D1",Basisblatt!Q9,DATE(YEAR(TODAY())-30,MONTH(TODAY()),DAY(TODAY())))</f>
        <v>Geburtsdatum</v>
      </c>
      <c r="G10" s="600"/>
      <c r="H10" s="600"/>
      <c r="I10" s="600"/>
      <c r="J10" s="600"/>
      <c r="K10" s="614" t="s">
        <v>38</v>
      </c>
      <c r="L10" s="614"/>
      <c r="M10" s="609">
        <f ca="1">IFERROR(YEAR(F10),0)</f>
        <v>0</v>
      </c>
      <c r="N10" s="609"/>
      <c r="O10" s="609"/>
    </row>
    <row r="11" spans="2:20" s="11" customFormat="1" ht="18" customHeight="1" x14ac:dyDescent="0.2">
      <c r="B11" s="599" t="s">
        <v>39</v>
      </c>
      <c r="C11" s="599"/>
      <c r="D11" s="599"/>
      <c r="E11" s="599"/>
      <c r="F11" s="601" t="str">
        <f>Basisblatt!Q6&amp;", "&amp;Basisblatt!Q7</f>
        <v>Strasse Nr, PLZ Ort</v>
      </c>
      <c r="G11" s="601"/>
      <c r="H11" s="601"/>
      <c r="I11" s="601"/>
      <c r="J11" s="601"/>
      <c r="K11" s="601"/>
      <c r="L11" s="601"/>
      <c r="M11" s="601"/>
      <c r="N11" s="601"/>
      <c r="O11" s="601"/>
    </row>
    <row r="12" spans="2:20" s="11" customFormat="1" ht="18" customHeight="1" x14ac:dyDescent="0.2"/>
    <row r="13" spans="2:20" s="11" customFormat="1" ht="18" customHeight="1" x14ac:dyDescent="0.2">
      <c r="P13" s="46"/>
    </row>
    <row r="14" spans="2:20" ht="15.75" x14ac:dyDescent="0.2">
      <c r="B14" s="603" t="s">
        <v>40</v>
      </c>
      <c r="C14" s="603"/>
      <c r="D14" s="603"/>
      <c r="E14" s="603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</row>
    <row r="15" spans="2:20" x14ac:dyDescent="0.2">
      <c r="B15" s="104" t="s">
        <v>41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</row>
    <row r="18" spans="2:20" x14ac:dyDescent="0.2">
      <c r="B18" s="104"/>
      <c r="C18" s="104" t="s">
        <v>42</v>
      </c>
      <c r="I18" s="97"/>
      <c r="J18" s="97"/>
      <c r="K18" s="97"/>
      <c r="L18" s="97"/>
      <c r="M18" s="97"/>
      <c r="N18" s="97"/>
      <c r="O18" s="12"/>
      <c r="P18" s="97"/>
      <c r="Q18" s="97"/>
      <c r="R18" s="97"/>
      <c r="S18" s="97"/>
      <c r="T18" s="97"/>
    </row>
    <row r="19" spans="2:20" s="189" customFormat="1" ht="17.45" customHeight="1" x14ac:dyDescent="0.2">
      <c r="B19" s="364"/>
      <c r="I19" s="365"/>
      <c r="J19" s="374" t="s">
        <v>43</v>
      </c>
      <c r="K19" s="374" t="s">
        <v>44</v>
      </c>
      <c r="L19" s="374" t="s">
        <v>45</v>
      </c>
      <c r="M19" s="374" t="s">
        <v>46</v>
      </c>
      <c r="N19" s="365"/>
      <c r="O19" s="12"/>
      <c r="P19" s="365"/>
      <c r="Q19" s="365"/>
    </row>
    <row r="20" spans="2:20" s="368" customFormat="1" ht="27.6" customHeight="1" x14ac:dyDescent="0.2">
      <c r="B20" s="366"/>
      <c r="C20" s="367" t="s">
        <v>47</v>
      </c>
      <c r="D20" s="367" t="s">
        <v>48</v>
      </c>
      <c r="E20" s="367" t="s">
        <v>49</v>
      </c>
      <c r="F20" s="367" t="s">
        <v>50</v>
      </c>
      <c r="G20" s="367" t="s">
        <v>51</v>
      </c>
      <c r="H20" s="367" t="s">
        <v>52</v>
      </c>
      <c r="I20" s="358"/>
      <c r="J20" s="371">
        <f>DATE(A_Jahr,1,1)</f>
        <v>45292</v>
      </c>
      <c r="K20" s="372" t="e">
        <f ca="1">DATEDIF($F$10,J20,"y")</f>
        <v>#VALUE!</v>
      </c>
      <c r="L20" s="377" t="e" cm="1">
        <f t="array" aca="1" ref="L20" ca="1">SUMPRODUCT((D21:D24&lt;=K20)*(E21:E24&gt;=K20)*F21:F24)</f>
        <v>#VALUE!</v>
      </c>
      <c r="M20" s="378" t="e">
        <f ca="1">L20/12*K23</f>
        <v>#VALUE!</v>
      </c>
      <c r="N20" s="358"/>
      <c r="O20" s="12"/>
      <c r="P20" s="358"/>
      <c r="Q20" s="358"/>
    </row>
    <row r="21" spans="2:20" s="38" customFormat="1" ht="27.6" customHeight="1" x14ac:dyDescent="0.2">
      <c r="B21" s="369"/>
      <c r="C21" s="275" t="s">
        <v>53</v>
      </c>
      <c r="D21" s="275">
        <v>0</v>
      </c>
      <c r="E21" s="275">
        <v>20</v>
      </c>
      <c r="F21" s="275">
        <v>27</v>
      </c>
      <c r="G21" s="370">
        <f>F21/12</f>
        <v>2.25</v>
      </c>
      <c r="H21" s="370">
        <f>F21*A_fldSollTagStd</f>
        <v>216</v>
      </c>
      <c r="I21" s="99"/>
      <c r="J21" s="371">
        <f>DATE(A_Jahr,12,31)</f>
        <v>45657</v>
      </c>
      <c r="K21" s="372" t="e">
        <f ca="1">DATEDIF($F$10,J21,"y")</f>
        <v>#VALUE!</v>
      </c>
      <c r="L21" s="38" t="e" cm="1">
        <f t="array" aca="1" ref="L21" ca="1">SUMPRODUCT((D21:D24&lt;=K21)*(E21:E24&gt;=K21)*F21:F24)</f>
        <v>#VALUE!</v>
      </c>
      <c r="M21" s="99" t="e">
        <f ca="1">L21/12*(12-K23)</f>
        <v>#VALUE!</v>
      </c>
      <c r="N21" s="99"/>
      <c r="O21" s="12"/>
      <c r="P21" s="99"/>
      <c r="Q21" s="99"/>
    </row>
    <row r="22" spans="2:20" s="38" customFormat="1" ht="27.6" customHeight="1" x14ac:dyDescent="0.2">
      <c r="B22" s="369"/>
      <c r="C22" s="275" t="s">
        <v>54</v>
      </c>
      <c r="D22" s="275">
        <v>21</v>
      </c>
      <c r="E22" s="275">
        <v>49</v>
      </c>
      <c r="F22" s="275">
        <v>22</v>
      </c>
      <c r="G22" s="370">
        <f>F22/12</f>
        <v>1.8333333333333333</v>
      </c>
      <c r="H22" s="370">
        <f>F22*A_fldSollTagStd</f>
        <v>176</v>
      </c>
      <c r="I22" s="99"/>
      <c r="M22" s="99" t="e">
        <f ca="1">SUM(M20:M21)</f>
        <v>#VALUE!</v>
      </c>
      <c r="N22" s="369" t="s">
        <v>55</v>
      </c>
      <c r="O22" s="379" t="e">
        <f ca="1">M22*A_fldSollTagStd*D45%</f>
        <v>#VALUE!</v>
      </c>
      <c r="P22" s="99"/>
      <c r="Q22" s="99"/>
    </row>
    <row r="23" spans="2:20" s="38" customFormat="1" ht="27.6" customHeight="1" x14ac:dyDescent="0.2">
      <c r="B23" s="369"/>
      <c r="C23" s="275" t="s">
        <v>513</v>
      </c>
      <c r="D23" s="275">
        <v>50</v>
      </c>
      <c r="E23" s="275">
        <v>59</v>
      </c>
      <c r="F23" s="275">
        <v>27</v>
      </c>
      <c r="G23" s="370">
        <f>F23/12</f>
        <v>2.25</v>
      </c>
      <c r="H23" s="370">
        <f>F23*A_fldSollTagStd</f>
        <v>216</v>
      </c>
      <c r="I23" s="99"/>
      <c r="J23" s="373" t="s">
        <v>56</v>
      </c>
      <c r="K23" s="372">
        <f ca="1">IFERROR(MONTH(F10)-1,MONTH("28.10.1982")-1)</f>
        <v>9</v>
      </c>
      <c r="M23" s="99"/>
      <c r="N23" s="99"/>
      <c r="O23" s="12"/>
      <c r="P23" s="99"/>
      <c r="Q23" s="99"/>
    </row>
    <row r="24" spans="2:20" s="38" customFormat="1" ht="27.6" customHeight="1" x14ac:dyDescent="0.2">
      <c r="B24" s="369"/>
      <c r="C24" s="275" t="s">
        <v>514</v>
      </c>
      <c r="D24" s="275">
        <v>60</v>
      </c>
      <c r="E24" s="275">
        <v>150</v>
      </c>
      <c r="F24" s="275">
        <v>27</v>
      </c>
      <c r="G24" s="370">
        <f>F24/12</f>
        <v>2.25</v>
      </c>
      <c r="H24" s="370">
        <f>F24*A_fldSollTagStd</f>
        <v>216</v>
      </c>
      <c r="I24" s="99"/>
      <c r="J24" s="457"/>
      <c r="K24" s="99"/>
      <c r="M24" s="99"/>
      <c r="N24" s="99"/>
      <c r="O24" s="12"/>
      <c r="P24" s="99"/>
      <c r="Q24" s="99"/>
    </row>
    <row r="25" spans="2:20" x14ac:dyDescent="0.2">
      <c r="B25" s="104"/>
      <c r="I25" s="97"/>
      <c r="J25" s="97"/>
      <c r="K25" s="97"/>
      <c r="L25" s="97"/>
      <c r="M25" s="97"/>
      <c r="N25" s="97"/>
      <c r="O25" s="12"/>
      <c r="P25" s="97"/>
      <c r="Q25" s="97"/>
    </row>
    <row r="26" spans="2:20" x14ac:dyDescent="0.2">
      <c r="B26" s="104"/>
      <c r="I26" s="97"/>
      <c r="J26" s="97"/>
      <c r="K26" s="97"/>
      <c r="L26" s="97"/>
      <c r="M26" s="97"/>
      <c r="N26" s="97"/>
      <c r="O26" s="12"/>
      <c r="P26" s="97"/>
      <c r="Q26" s="97"/>
    </row>
    <row r="27" spans="2:20" x14ac:dyDescent="0.2">
      <c r="B27" s="104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12"/>
      <c r="P27" s="97"/>
      <c r="Q27" s="97"/>
    </row>
    <row r="29" spans="2:20" ht="15.75" x14ac:dyDescent="0.2">
      <c r="B29" s="603" t="s">
        <v>57</v>
      </c>
      <c r="C29" s="603"/>
      <c r="D29" s="603"/>
      <c r="E29" s="603"/>
      <c r="F29" s="603"/>
      <c r="G29" s="603"/>
      <c r="H29" s="603"/>
      <c r="I29" s="603"/>
      <c r="J29" s="603"/>
      <c r="K29" s="603"/>
      <c r="L29" s="603"/>
      <c r="M29" s="603"/>
      <c r="N29" s="603"/>
      <c r="O29" s="603"/>
      <c r="P29" s="603"/>
      <c r="Q29" s="603"/>
      <c r="R29" s="603"/>
      <c r="S29" s="603"/>
      <c r="T29" s="603"/>
    </row>
    <row r="30" spans="2:20" x14ac:dyDescent="0.2">
      <c r="B30" s="104" t="s">
        <v>58</v>
      </c>
      <c r="C30" s="97"/>
      <c r="D30" s="97"/>
      <c r="E30" s="97"/>
      <c r="F30" s="97"/>
      <c r="G30" s="97"/>
      <c r="I30" s="507"/>
      <c r="J30" s="507"/>
      <c r="K30" s="508"/>
      <c r="M30" s="507"/>
      <c r="N30" s="507"/>
      <c r="O30" s="97"/>
      <c r="P30" s="97"/>
      <c r="Q30" s="97"/>
      <c r="R30" s="97"/>
      <c r="S30" s="97"/>
      <c r="T30" s="97"/>
    </row>
    <row r="31" spans="2:20" x14ac:dyDescent="0.2"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</row>
    <row r="32" spans="2:20" x14ac:dyDescent="0.2">
      <c r="B32" s="119"/>
      <c r="C32" s="122"/>
      <c r="D32" s="354" t="s">
        <v>59</v>
      </c>
      <c r="E32" s="355" t="s">
        <v>60</v>
      </c>
      <c r="F32" s="355" t="s">
        <v>61</v>
      </c>
      <c r="G32" s="355" t="s">
        <v>62</v>
      </c>
      <c r="H32" s="355" t="s">
        <v>63</v>
      </c>
      <c r="I32" s="355" t="s">
        <v>64</v>
      </c>
      <c r="J32" s="356" t="s">
        <v>65</v>
      </c>
      <c r="K32" s="356" t="s">
        <v>66</v>
      </c>
      <c r="L32" s="506" t="s">
        <v>543</v>
      </c>
      <c r="M32" s="506" t="s">
        <v>544</v>
      </c>
      <c r="N32" s="356" t="s">
        <v>68</v>
      </c>
    </row>
    <row r="33" spans="2:14" x14ac:dyDescent="0.2">
      <c r="B33" s="121">
        <v>1</v>
      </c>
      <c r="C33" s="73" t="s">
        <v>69</v>
      </c>
      <c r="D33" s="351">
        <f t="shared" ref="D33:D44" si="0">SUM(E33:I33)/5</f>
        <v>100</v>
      </c>
      <c r="E33" s="512">
        <f>Basisblatt!E43</f>
        <v>100</v>
      </c>
      <c r="F33" s="512">
        <f>IF(B_fldTageGleich=H_Label!$B$117,$E33,Basisblatt!G43)</f>
        <v>100</v>
      </c>
      <c r="G33" s="512">
        <f>IF(B_fldTageGleich=H_Label!$B$117,$E33,Basisblatt!I43)</f>
        <v>100</v>
      </c>
      <c r="H33" s="512">
        <f>IF(B_fldTageGleich=H_Label!$B$117,$E33,Basisblatt!K43)</f>
        <v>100</v>
      </c>
      <c r="I33" s="512">
        <f>IF(B_fldTageGleich=H_Label!$B$117,$E33,Basisblatt!M43)</f>
        <v>100</v>
      </c>
      <c r="J33" s="351">
        <f t="shared" ref="J33:J44" si="1">SUM(E33:I33)/100</f>
        <v>5</v>
      </c>
      <c r="K33" s="351">
        <f>D33%*Admin_Konfig!$G$20</f>
        <v>8</v>
      </c>
      <c r="L33" s="514">
        <f>H_MNT!$J$50</f>
        <v>1</v>
      </c>
      <c r="M33" s="514">
        <f>H_MNT!$J$48</f>
        <v>1</v>
      </c>
      <c r="N33" s="353" t="str">
        <f>IF(M33&gt;=Admin_Konfig!$G$12,"h","t")</f>
        <v>h</v>
      </c>
    </row>
    <row r="34" spans="2:14" x14ac:dyDescent="0.2">
      <c r="B34" s="121">
        <v>2</v>
      </c>
      <c r="C34" s="73" t="s">
        <v>70</v>
      </c>
      <c r="D34" s="351">
        <f t="shared" si="0"/>
        <v>100</v>
      </c>
      <c r="E34" s="512">
        <f>IF(B_fldMntGleich=H_Label!$B$117,E$33,Basisblatt!E44)</f>
        <v>100</v>
      </c>
      <c r="F34" s="512">
        <f>IF(B_fldMntGleich=H_Label!$B$117,F$33,IF(B_fldTageGleich=H_Label!$B$117,$E34,Basisblatt!G44))</f>
        <v>100</v>
      </c>
      <c r="G34" s="512">
        <f>IF(B_fldMntGleich=H_Label!$B$117,G$33,IF(B_fldTageGleich=H_Label!$B$117,$E34,Basisblatt!I44))</f>
        <v>100</v>
      </c>
      <c r="H34" s="512">
        <f>IF(B_fldMntGleich=H_Label!$B$117,H$33,IF(B_fldTageGleich=H_Label!$B$117,$E34,Basisblatt!K44))</f>
        <v>100</v>
      </c>
      <c r="I34" s="512">
        <f>IF(B_fldMntGleich=H_Label!$B$117,I$33,IF(B_fldTageGleich=H_Label!$B$117,$E34,Basisblatt!M44))</f>
        <v>100</v>
      </c>
      <c r="J34" s="351">
        <f t="shared" si="1"/>
        <v>5</v>
      </c>
      <c r="K34" s="351">
        <f>D34%*Admin_Konfig!$G$20</f>
        <v>8</v>
      </c>
      <c r="L34" s="514">
        <f>H_MNT!$K$50</f>
        <v>1</v>
      </c>
      <c r="M34" s="514">
        <f>H_MNT!$K$48</f>
        <v>1</v>
      </c>
      <c r="N34" s="353" t="str">
        <f>IF(M34&gt;=Admin_Konfig!$G$12,"h","t")</f>
        <v>h</v>
      </c>
    </row>
    <row r="35" spans="2:14" x14ac:dyDescent="0.2">
      <c r="B35" s="121">
        <v>3</v>
      </c>
      <c r="C35" s="73" t="s">
        <v>71</v>
      </c>
      <c r="D35" s="351">
        <f t="shared" si="0"/>
        <v>100</v>
      </c>
      <c r="E35" s="512">
        <f>IF(B_fldMntGleich=H_Label!$B$117,E$33,Basisblatt!E45)</f>
        <v>100</v>
      </c>
      <c r="F35" s="512">
        <f>IF(B_fldMntGleich=H_Label!$B$117,F$33,IF(B_fldTageGleich=H_Label!$B$117,$E35,Basisblatt!G45))</f>
        <v>100</v>
      </c>
      <c r="G35" s="512">
        <f>IF(B_fldMntGleich=H_Label!$B$117,G$33,IF(B_fldTageGleich=H_Label!$B$117,$E35,Basisblatt!I45))</f>
        <v>100</v>
      </c>
      <c r="H35" s="512">
        <f>IF(B_fldMntGleich=H_Label!$B$117,H$33,IF(B_fldTageGleich=H_Label!$B$117,$E35,Basisblatt!K45))</f>
        <v>100</v>
      </c>
      <c r="I35" s="512">
        <f>IF(B_fldMntGleich=H_Label!$B$117,I$33,IF(B_fldTageGleich=H_Label!$B$117,$E35,Basisblatt!M45))</f>
        <v>100</v>
      </c>
      <c r="J35" s="351">
        <f t="shared" si="1"/>
        <v>5</v>
      </c>
      <c r="K35" s="351">
        <f>D35%*Admin_Konfig!$G$20</f>
        <v>8</v>
      </c>
      <c r="L35" s="514">
        <f>H_MNT!$L$50</f>
        <v>1</v>
      </c>
      <c r="M35" s="514">
        <f>H_MNT!$L$48</f>
        <v>1</v>
      </c>
      <c r="N35" s="353" t="str">
        <f>IF(M35&gt;=Admin_Konfig!$G$12,"h","t")</f>
        <v>h</v>
      </c>
    </row>
    <row r="36" spans="2:14" x14ac:dyDescent="0.2">
      <c r="B36" s="121">
        <v>4</v>
      </c>
      <c r="C36" s="73" t="s">
        <v>72</v>
      </c>
      <c r="D36" s="351">
        <f t="shared" si="0"/>
        <v>100</v>
      </c>
      <c r="E36" s="512">
        <f>IF(B_fldMntGleich=H_Label!$B$117,E$33,Basisblatt!E46)</f>
        <v>100</v>
      </c>
      <c r="F36" s="512">
        <f>IF(B_fldMntGleich=H_Label!$B$117,F$33,IF(B_fldTageGleich=H_Label!$B$117,$E36,Basisblatt!G46))</f>
        <v>100</v>
      </c>
      <c r="G36" s="512">
        <f>IF(B_fldMntGleich=H_Label!$B$117,G$33,IF(B_fldTageGleich=H_Label!$B$117,$E36,Basisblatt!I46))</f>
        <v>100</v>
      </c>
      <c r="H36" s="512">
        <f>IF(B_fldMntGleich=H_Label!$B$117,H$33,IF(B_fldTageGleich=H_Label!$B$117,$E36,Basisblatt!K46))</f>
        <v>100</v>
      </c>
      <c r="I36" s="512">
        <f>IF(B_fldMntGleich=H_Label!$B$117,I$33,IF(B_fldTageGleich=H_Label!$B$117,$E36,Basisblatt!M46))</f>
        <v>100</v>
      </c>
      <c r="J36" s="351">
        <f t="shared" si="1"/>
        <v>5</v>
      </c>
      <c r="K36" s="351">
        <f>D36%*Admin_Konfig!$G$20</f>
        <v>8</v>
      </c>
      <c r="L36" s="514">
        <f>H_MNT!$M$50</f>
        <v>1</v>
      </c>
      <c r="M36" s="514">
        <f>H_MNT!$M$48</f>
        <v>1</v>
      </c>
      <c r="N36" s="353" t="str">
        <f>IF(M36&gt;=Admin_Konfig!$G$12,"h","t")</f>
        <v>h</v>
      </c>
    </row>
    <row r="37" spans="2:14" x14ac:dyDescent="0.2">
      <c r="B37" s="121">
        <v>5</v>
      </c>
      <c r="C37" s="73" t="s">
        <v>73</v>
      </c>
      <c r="D37" s="351">
        <f t="shared" si="0"/>
        <v>100</v>
      </c>
      <c r="E37" s="512">
        <f>IF(B_fldMntGleich=H_Label!$B$117,E$33,Basisblatt!E47)</f>
        <v>100</v>
      </c>
      <c r="F37" s="512">
        <f>IF(B_fldMntGleich=H_Label!$B$117,F$33,IF(B_fldTageGleich=H_Label!$B$117,$E37,Basisblatt!G47))</f>
        <v>100</v>
      </c>
      <c r="G37" s="512">
        <f>IF(B_fldMntGleich=H_Label!$B$117,G$33,IF(B_fldTageGleich=H_Label!$B$117,$E37,Basisblatt!I47))</f>
        <v>100</v>
      </c>
      <c r="H37" s="512">
        <f>IF(B_fldMntGleich=H_Label!$B$117,H$33,IF(B_fldTageGleich=H_Label!$B$117,$E37,Basisblatt!K47))</f>
        <v>100</v>
      </c>
      <c r="I37" s="512">
        <f>IF(B_fldMntGleich=H_Label!$B$117,I$33,IF(B_fldTageGleich=H_Label!$B$117,$E37,Basisblatt!M47))</f>
        <v>100</v>
      </c>
      <c r="J37" s="351">
        <f t="shared" si="1"/>
        <v>5</v>
      </c>
      <c r="K37" s="351">
        <f>D37%*Admin_Konfig!$G$20</f>
        <v>8</v>
      </c>
      <c r="L37" s="514">
        <f>H_MNT!$N$50</f>
        <v>1</v>
      </c>
      <c r="M37" s="514">
        <f>H_MNT!$N$48</f>
        <v>1</v>
      </c>
      <c r="N37" s="353" t="str">
        <f>IF(M37&gt;=Admin_Konfig!$G$12,"h","t")</f>
        <v>h</v>
      </c>
    </row>
    <row r="38" spans="2:14" x14ac:dyDescent="0.2">
      <c r="B38" s="121">
        <v>6</v>
      </c>
      <c r="C38" s="73" t="s">
        <v>74</v>
      </c>
      <c r="D38" s="351">
        <f t="shared" si="0"/>
        <v>100</v>
      </c>
      <c r="E38" s="512">
        <f>IF(B_fldMntGleich=H_Label!$B$117,E$33,Basisblatt!E48)</f>
        <v>100</v>
      </c>
      <c r="F38" s="512">
        <f>IF(B_fldMntGleich=H_Label!$B$117,F$33,IF(B_fldTageGleich=H_Label!$B$117,$E38,Basisblatt!G48))</f>
        <v>100</v>
      </c>
      <c r="G38" s="512">
        <f>IF(B_fldMntGleich=H_Label!$B$117,G$33,IF(B_fldTageGleich=H_Label!$B$117,$E38,Basisblatt!I48))</f>
        <v>100</v>
      </c>
      <c r="H38" s="512">
        <f>IF(B_fldMntGleich=H_Label!$B$117,H$33,IF(B_fldTageGleich=H_Label!$B$117,$E38,Basisblatt!K48))</f>
        <v>100</v>
      </c>
      <c r="I38" s="512">
        <f>IF(B_fldMntGleich=H_Label!$B$117,I$33,IF(B_fldTageGleich=H_Label!$B$117,$E38,Basisblatt!M48))</f>
        <v>100</v>
      </c>
      <c r="J38" s="351">
        <f t="shared" si="1"/>
        <v>5</v>
      </c>
      <c r="K38" s="351">
        <f>D38%*Admin_Konfig!$G$20</f>
        <v>8</v>
      </c>
      <c r="L38" s="514">
        <f>H_MNT!$O$50</f>
        <v>1</v>
      </c>
      <c r="M38" s="514">
        <f>H_MNT!$O$48</f>
        <v>1</v>
      </c>
      <c r="N38" s="353" t="str">
        <f>IF(M38&gt;=Admin_Konfig!$G$12,"h","t")</f>
        <v>h</v>
      </c>
    </row>
    <row r="39" spans="2:14" x14ac:dyDescent="0.2">
      <c r="B39" s="121">
        <v>7</v>
      </c>
      <c r="C39" s="73" t="s">
        <v>75</v>
      </c>
      <c r="D39" s="351">
        <f t="shared" si="0"/>
        <v>100</v>
      </c>
      <c r="E39" s="512">
        <f>IF(B_fldMntGleich=H_Label!$B$117,E$33,Basisblatt!E49)</f>
        <v>100</v>
      </c>
      <c r="F39" s="512">
        <f>IF(B_fldMntGleich=H_Label!$B$117,F$33,IF(B_fldTageGleich=H_Label!$B$117,$E39,Basisblatt!G49))</f>
        <v>100</v>
      </c>
      <c r="G39" s="512">
        <f>IF(B_fldMntGleich=H_Label!$B$117,G$33,IF(B_fldTageGleich=H_Label!$B$117,$E39,Basisblatt!I49))</f>
        <v>100</v>
      </c>
      <c r="H39" s="512">
        <f>IF(B_fldMntGleich=H_Label!$B$117,H$33,IF(B_fldTageGleich=H_Label!$B$117,$E39,Basisblatt!K49))</f>
        <v>100</v>
      </c>
      <c r="I39" s="512">
        <f>IF(B_fldMntGleich=H_Label!$B$117,I$33,IF(B_fldTageGleich=H_Label!$B$117,$E39,Basisblatt!M49))</f>
        <v>100</v>
      </c>
      <c r="J39" s="351">
        <f t="shared" si="1"/>
        <v>5</v>
      </c>
      <c r="K39" s="351">
        <f>D39%*Admin_Konfig!$G$20</f>
        <v>8</v>
      </c>
      <c r="L39" s="514">
        <f>H_MNT!$P$50</f>
        <v>1</v>
      </c>
      <c r="M39" s="514">
        <f>H_MNT!$P$48</f>
        <v>1</v>
      </c>
      <c r="N39" s="353" t="str">
        <f>IF(M39&gt;=Admin_Konfig!$G$12,"h","t")</f>
        <v>h</v>
      </c>
    </row>
    <row r="40" spans="2:14" x14ac:dyDescent="0.2">
      <c r="B40" s="121">
        <v>8</v>
      </c>
      <c r="C40" s="73" t="s">
        <v>76</v>
      </c>
      <c r="D40" s="351">
        <f t="shared" si="0"/>
        <v>100</v>
      </c>
      <c r="E40" s="512">
        <f>IF(B_fldMntGleich=H_Label!$B$117,E$33,Basisblatt!E50)</f>
        <v>100</v>
      </c>
      <c r="F40" s="512">
        <f>IF(B_fldMntGleich=H_Label!$B$117,F$33,IF(B_fldTageGleich=H_Label!$B$117,$E40,Basisblatt!G50))</f>
        <v>100</v>
      </c>
      <c r="G40" s="512">
        <f>IF(B_fldMntGleich=H_Label!$B$117,G$33,IF(B_fldTageGleich=H_Label!$B$117,$E40,Basisblatt!I50))</f>
        <v>100</v>
      </c>
      <c r="H40" s="512">
        <f>IF(B_fldMntGleich=H_Label!$B$117,H$33,IF(B_fldTageGleich=H_Label!$B$117,$E40,Basisblatt!K50))</f>
        <v>100</v>
      </c>
      <c r="I40" s="512">
        <f>IF(B_fldMntGleich=H_Label!$B$117,I$33,IF(B_fldTageGleich=H_Label!$B$117,$E40,Basisblatt!M50))</f>
        <v>100</v>
      </c>
      <c r="J40" s="351">
        <f t="shared" si="1"/>
        <v>5</v>
      </c>
      <c r="K40" s="351">
        <f>D40%*Admin_Konfig!$G$20</f>
        <v>8</v>
      </c>
      <c r="L40" s="514">
        <f>H_MNT!$Q$50</f>
        <v>1</v>
      </c>
      <c r="M40" s="514">
        <f>H_MNT!$Q$48</f>
        <v>1</v>
      </c>
      <c r="N40" s="353" t="str">
        <f>IF(M40&gt;=Admin_Konfig!$G$12,"h","t")</f>
        <v>h</v>
      </c>
    </row>
    <row r="41" spans="2:14" x14ac:dyDescent="0.2">
      <c r="B41" s="121">
        <v>9</v>
      </c>
      <c r="C41" s="73" t="s">
        <v>77</v>
      </c>
      <c r="D41" s="351">
        <f t="shared" si="0"/>
        <v>100</v>
      </c>
      <c r="E41" s="512">
        <f>IF(B_fldMntGleich=H_Label!$B$117,E$33,Basisblatt!E51)</f>
        <v>100</v>
      </c>
      <c r="F41" s="512">
        <f>IF(B_fldMntGleich=H_Label!$B$117,F$33,IF(B_fldTageGleich=H_Label!$B$117,$E41,Basisblatt!G51))</f>
        <v>100</v>
      </c>
      <c r="G41" s="512">
        <f>IF(B_fldMntGleich=H_Label!$B$117,G$33,IF(B_fldTageGleich=H_Label!$B$117,$E41,Basisblatt!I51))</f>
        <v>100</v>
      </c>
      <c r="H41" s="512">
        <f>IF(B_fldMntGleich=H_Label!$B$117,H$33,IF(B_fldTageGleich=H_Label!$B$117,$E41,Basisblatt!K51))</f>
        <v>100</v>
      </c>
      <c r="I41" s="512">
        <f>IF(B_fldMntGleich=H_Label!$B$117,I$33,IF(B_fldTageGleich=H_Label!$B$117,$E41,Basisblatt!M51))</f>
        <v>100</v>
      </c>
      <c r="J41" s="351">
        <f t="shared" si="1"/>
        <v>5</v>
      </c>
      <c r="K41" s="351">
        <f>D41%*Admin_Konfig!$G$20</f>
        <v>8</v>
      </c>
      <c r="L41" s="514">
        <f>H_MNT!$R$50</f>
        <v>1</v>
      </c>
      <c r="M41" s="514">
        <f>H_MNT!$R$48</f>
        <v>1</v>
      </c>
      <c r="N41" s="353" t="str">
        <f>IF(M41&gt;=Admin_Konfig!$G$12,"h","t")</f>
        <v>h</v>
      </c>
    </row>
    <row r="42" spans="2:14" x14ac:dyDescent="0.2">
      <c r="B42" s="121">
        <v>10</v>
      </c>
      <c r="C42" s="73" t="s">
        <v>78</v>
      </c>
      <c r="D42" s="351">
        <f t="shared" si="0"/>
        <v>100</v>
      </c>
      <c r="E42" s="512">
        <f>IF(B_fldMntGleich=H_Label!$B$117,E$33,Basisblatt!E52)</f>
        <v>100</v>
      </c>
      <c r="F42" s="512">
        <f>IF(B_fldMntGleich=H_Label!$B$117,F$33,IF(B_fldTageGleich=H_Label!$B$117,$E42,Basisblatt!G52))</f>
        <v>100</v>
      </c>
      <c r="G42" s="512">
        <f>IF(B_fldMntGleich=H_Label!$B$117,G$33,IF(B_fldTageGleich=H_Label!$B$117,$E42,Basisblatt!I52))</f>
        <v>100</v>
      </c>
      <c r="H42" s="512">
        <f>IF(B_fldMntGleich=H_Label!$B$117,H$33,IF(B_fldTageGleich=H_Label!$B$117,$E42,Basisblatt!K52))</f>
        <v>100</v>
      </c>
      <c r="I42" s="512">
        <f>IF(B_fldMntGleich=H_Label!$B$117,I$33,IF(B_fldTageGleich=H_Label!$B$117,$E42,Basisblatt!M52))</f>
        <v>100</v>
      </c>
      <c r="J42" s="351">
        <f t="shared" si="1"/>
        <v>5</v>
      </c>
      <c r="K42" s="351">
        <f>D42%*Admin_Konfig!$G$20</f>
        <v>8</v>
      </c>
      <c r="L42" s="514">
        <f>H_MNT!$S$50</f>
        <v>1</v>
      </c>
      <c r="M42" s="514">
        <f>H_MNT!$S$48</f>
        <v>1</v>
      </c>
      <c r="N42" s="353" t="str">
        <f>IF(M42&gt;=Admin_Konfig!$G$12,"h","t")</f>
        <v>h</v>
      </c>
    </row>
    <row r="43" spans="2:14" x14ac:dyDescent="0.2">
      <c r="B43" s="121">
        <v>11</v>
      </c>
      <c r="C43" s="73" t="s">
        <v>79</v>
      </c>
      <c r="D43" s="351">
        <f t="shared" si="0"/>
        <v>100</v>
      </c>
      <c r="E43" s="512">
        <f>IF(B_fldMntGleich=H_Label!$B$117,E$33,Basisblatt!E53)</f>
        <v>100</v>
      </c>
      <c r="F43" s="512">
        <f>IF(B_fldMntGleich=H_Label!$B$117,F$33,IF(B_fldTageGleich=H_Label!$B$117,$E43,Basisblatt!G53))</f>
        <v>100</v>
      </c>
      <c r="G43" s="512">
        <f>IF(B_fldMntGleich=H_Label!$B$117,G$33,IF(B_fldTageGleich=H_Label!$B$117,$E43,Basisblatt!I53))</f>
        <v>100</v>
      </c>
      <c r="H43" s="512">
        <f>IF(B_fldMntGleich=H_Label!$B$117,H$33,IF(B_fldTageGleich=H_Label!$B$117,$E43,Basisblatt!K53))</f>
        <v>100</v>
      </c>
      <c r="I43" s="512">
        <f>IF(B_fldMntGleich=H_Label!$B$117,I$33,IF(B_fldTageGleich=H_Label!$B$117,$E43,Basisblatt!M53))</f>
        <v>100</v>
      </c>
      <c r="J43" s="351">
        <f t="shared" si="1"/>
        <v>5</v>
      </c>
      <c r="K43" s="351">
        <f>D43%*Admin_Konfig!$G$20</f>
        <v>8</v>
      </c>
      <c r="L43" s="514">
        <f>H_MNT!$T$50</f>
        <v>1</v>
      </c>
      <c r="M43" s="514">
        <f>H_MNT!$T$48</f>
        <v>1</v>
      </c>
      <c r="N43" s="353" t="str">
        <f>IF(M43&gt;=Admin_Konfig!$G$12,"h","t")</f>
        <v>h</v>
      </c>
    </row>
    <row r="44" spans="2:14" ht="13.5" thickBot="1" x14ac:dyDescent="0.25">
      <c r="B44" s="121">
        <v>12</v>
      </c>
      <c r="C44" s="77" t="s">
        <v>80</v>
      </c>
      <c r="D44" s="351">
        <f t="shared" si="0"/>
        <v>100</v>
      </c>
      <c r="E44" s="513">
        <f>IF(B_fldMntGleich=H_Label!$B$117,E$33,Basisblatt!E54)</f>
        <v>100</v>
      </c>
      <c r="F44" s="513">
        <f>IF(B_fldMntGleich=H_Label!$B$117,F$33,IF(B_fldTageGleich=H_Label!$B$117,$E44,Basisblatt!G54))</f>
        <v>100</v>
      </c>
      <c r="G44" s="513">
        <f>IF(B_fldMntGleich=H_Label!$B$117,G$33,IF(B_fldTageGleich=H_Label!$B$117,$E44,Basisblatt!I54))</f>
        <v>100</v>
      </c>
      <c r="H44" s="513">
        <f>IF(B_fldMntGleich=H_Label!$B$117,H$33,IF(B_fldTageGleich=H_Label!$B$117,$E44,Basisblatt!K54))</f>
        <v>100</v>
      </c>
      <c r="I44" s="513">
        <f>IF(B_fldMntGleich=H_Label!$B$117,I$33,IF(B_fldTageGleich=H_Label!$B$117,$E44,Basisblatt!M54))</f>
        <v>100</v>
      </c>
      <c r="J44" s="352">
        <f t="shared" si="1"/>
        <v>5</v>
      </c>
      <c r="K44" s="352">
        <f>D44%*Admin_Konfig!$G$20</f>
        <v>8</v>
      </c>
      <c r="L44" s="514">
        <f>H_MNT!$U$50</f>
        <v>1</v>
      </c>
      <c r="M44" s="514">
        <f>H_MNT!$U$48</f>
        <v>1</v>
      </c>
      <c r="N44" s="353" t="str">
        <f>IF(M44&gt;=Admin_Konfig!$G$12,"h","t")</f>
        <v>h</v>
      </c>
    </row>
    <row r="45" spans="2:14" ht="13.5" thickBot="1" x14ac:dyDescent="0.25">
      <c r="C45" s="78" t="s">
        <v>81</v>
      </c>
      <c r="D45" s="348">
        <f t="shared" ref="D45:K45" si="2">SUM(D33:D44)/12</f>
        <v>100</v>
      </c>
      <c r="E45" s="348">
        <f t="shared" si="2"/>
        <v>100</v>
      </c>
      <c r="F45" s="348">
        <f t="shared" si="2"/>
        <v>100</v>
      </c>
      <c r="G45" s="348">
        <f t="shared" si="2"/>
        <v>100</v>
      </c>
      <c r="H45" s="348">
        <f t="shared" si="2"/>
        <v>100</v>
      </c>
      <c r="I45" s="348">
        <f t="shared" si="2"/>
        <v>100</v>
      </c>
      <c r="J45" s="348">
        <f t="shared" si="2"/>
        <v>5</v>
      </c>
      <c r="K45" s="348">
        <f t="shared" si="2"/>
        <v>8</v>
      </c>
      <c r="L45" s="349">
        <f>SUM(L33:L44)/12</f>
        <v>1</v>
      </c>
      <c r="M45" s="349">
        <f>SUM(M33:M44)/12</f>
        <v>1</v>
      </c>
      <c r="N45" s="504" t="str">
        <f>IF(M45&gt;=Admin_Konfig!$G$12,"h","t")</f>
        <v>h</v>
      </c>
    </row>
    <row r="46" spans="2:14" x14ac:dyDescent="0.2">
      <c r="C46" s="78" t="s">
        <v>82</v>
      </c>
      <c r="D46" s="362"/>
      <c r="E46" s="350">
        <v>1</v>
      </c>
      <c r="F46" s="350">
        <v>2</v>
      </c>
      <c r="G46" s="350">
        <v>3</v>
      </c>
      <c r="H46" s="350">
        <v>4</v>
      </c>
      <c r="I46" s="376">
        <v>5</v>
      </c>
      <c r="J46" s="363"/>
      <c r="K46" s="363"/>
      <c r="L46" s="363"/>
      <c r="M46" s="363"/>
    </row>
    <row r="48" spans="2:14" x14ac:dyDescent="0.2">
      <c r="C48" s="505" t="s">
        <v>539</v>
      </c>
      <c r="D48" s="509"/>
      <c r="E48" s="509"/>
      <c r="F48" s="509"/>
      <c r="G48" s="509"/>
      <c r="H48" s="505" t="s">
        <v>540</v>
      </c>
      <c r="I48" s="509"/>
      <c r="J48" s="509"/>
      <c r="K48" s="509"/>
      <c r="L48" s="509"/>
      <c r="M48" s="509"/>
      <c r="N48" s="509"/>
    </row>
    <row r="52" spans="2:46" ht="15.6" customHeight="1" x14ac:dyDescent="0.2">
      <c r="B52" s="603" t="s">
        <v>83</v>
      </c>
      <c r="C52" s="603"/>
      <c r="D52" s="603"/>
      <c r="E52" s="603"/>
      <c r="F52" s="603"/>
      <c r="G52" s="603"/>
      <c r="H52" s="603"/>
      <c r="I52" s="603"/>
      <c r="J52" s="603"/>
      <c r="K52" s="603"/>
      <c r="L52" s="603"/>
      <c r="M52" s="603"/>
      <c r="N52" s="309"/>
      <c r="O52" s="309"/>
      <c r="Q52" s="309"/>
      <c r="R52" s="309"/>
      <c r="S52" s="309"/>
      <c r="T52" s="309"/>
      <c r="U52" s="309"/>
      <c r="V52" s="309"/>
      <c r="W52" s="309"/>
      <c r="X52" s="309"/>
      <c r="Y52" s="309"/>
    </row>
    <row r="53" spans="2:46" x14ac:dyDescent="0.2">
      <c r="B53" s="104" t="s">
        <v>84</v>
      </c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Q53" s="97"/>
      <c r="R53" s="97"/>
      <c r="S53" s="97"/>
      <c r="T53" s="97"/>
      <c r="U53" s="97"/>
      <c r="V53" s="97"/>
      <c r="W53" s="97"/>
      <c r="X53" s="97"/>
      <c r="Y53" s="97"/>
    </row>
    <row r="54" spans="2:46" x14ac:dyDescent="0.2">
      <c r="AP54" s="602" t="e">
        <f>DATEDIF(#REF!,#REF!,"y")</f>
        <v>#REF!</v>
      </c>
      <c r="AQ54" s="602"/>
      <c r="AR54" s="602"/>
      <c r="AS54" s="602"/>
      <c r="AT54" s="602"/>
    </row>
    <row r="55" spans="2:46" x14ac:dyDescent="0.2">
      <c r="C55" s="243" t="s">
        <v>85</v>
      </c>
      <c r="D55" s="375" t="s">
        <v>86</v>
      </c>
      <c r="E55" s="375" t="s">
        <v>87</v>
      </c>
      <c r="F55" s="375" t="s">
        <v>88</v>
      </c>
    </row>
    <row r="56" spans="2:46" x14ac:dyDescent="0.2">
      <c r="C56" s="242">
        <v>1</v>
      </c>
      <c r="D56" s="12" t="s">
        <v>89</v>
      </c>
      <c r="E56" s="12" t="s">
        <v>90</v>
      </c>
      <c r="F56" s="12" t="s">
        <v>89</v>
      </c>
    </row>
    <row r="57" spans="2:46" x14ac:dyDescent="0.2">
      <c r="C57" s="242">
        <v>2</v>
      </c>
      <c r="D57" s="12" t="s">
        <v>91</v>
      </c>
      <c r="E57" s="12" t="s">
        <v>92</v>
      </c>
      <c r="F57" s="12" t="s">
        <v>91</v>
      </c>
    </row>
    <row r="58" spans="2:46" x14ac:dyDescent="0.2">
      <c r="C58" s="242">
        <v>3</v>
      </c>
      <c r="D58" s="12" t="s">
        <v>93</v>
      </c>
      <c r="E58" s="12" t="s">
        <v>94</v>
      </c>
      <c r="F58" s="12" t="s">
        <v>93</v>
      </c>
    </row>
    <row r="59" spans="2:46" x14ac:dyDescent="0.2">
      <c r="C59" s="242">
        <v>4</v>
      </c>
      <c r="D59" s="12" t="s">
        <v>95</v>
      </c>
      <c r="E59" s="12" t="s">
        <v>96</v>
      </c>
      <c r="F59" s="12" t="s">
        <v>95</v>
      </c>
    </row>
    <row r="60" spans="2:46" x14ac:dyDescent="0.2">
      <c r="C60" s="242">
        <v>5</v>
      </c>
      <c r="D60" s="12" t="s">
        <v>97</v>
      </c>
      <c r="E60" s="12" t="s">
        <v>73</v>
      </c>
      <c r="F60" s="12" t="s">
        <v>97</v>
      </c>
    </row>
    <row r="61" spans="2:46" x14ac:dyDescent="0.2">
      <c r="C61" s="242">
        <v>6</v>
      </c>
      <c r="D61" s="12" t="s">
        <v>98</v>
      </c>
      <c r="E61" s="12" t="s">
        <v>99</v>
      </c>
      <c r="F61" s="12" t="s">
        <v>98</v>
      </c>
    </row>
    <row r="62" spans="2:46" x14ac:dyDescent="0.2">
      <c r="C62" s="242">
        <v>7</v>
      </c>
      <c r="D62" s="12" t="s">
        <v>100</v>
      </c>
      <c r="E62" s="12" t="s">
        <v>101</v>
      </c>
      <c r="F62" s="12" t="s">
        <v>100</v>
      </c>
    </row>
    <row r="63" spans="2:46" x14ac:dyDescent="0.2">
      <c r="C63" s="242">
        <v>8</v>
      </c>
      <c r="D63" s="12" t="s">
        <v>102</v>
      </c>
      <c r="E63" s="12" t="s">
        <v>103</v>
      </c>
      <c r="F63" s="12" t="s">
        <v>102</v>
      </c>
    </row>
    <row r="64" spans="2:46" x14ac:dyDescent="0.2">
      <c r="C64" s="242">
        <v>9</v>
      </c>
      <c r="D64" s="12" t="s">
        <v>104</v>
      </c>
      <c r="E64" s="12" t="s">
        <v>105</v>
      </c>
      <c r="F64" s="12" t="s">
        <v>104</v>
      </c>
    </row>
    <row r="65" spans="2:20" x14ac:dyDescent="0.2">
      <c r="C65" s="242">
        <v>10</v>
      </c>
      <c r="D65" s="12" t="s">
        <v>106</v>
      </c>
      <c r="E65" s="12" t="s">
        <v>107</v>
      </c>
      <c r="F65" s="12" t="s">
        <v>106</v>
      </c>
    </row>
    <row r="66" spans="2:20" x14ac:dyDescent="0.2">
      <c r="C66" s="242">
        <v>11</v>
      </c>
      <c r="D66" s="12" t="s">
        <v>108</v>
      </c>
      <c r="E66" s="12" t="s">
        <v>109</v>
      </c>
      <c r="F66" s="12" t="s">
        <v>108</v>
      </c>
    </row>
    <row r="67" spans="2:20" x14ac:dyDescent="0.2">
      <c r="C67" s="242">
        <v>12</v>
      </c>
      <c r="D67" s="12" t="s">
        <v>110</v>
      </c>
      <c r="E67" s="12" t="s">
        <v>111</v>
      </c>
      <c r="F67" s="12" t="s">
        <v>110</v>
      </c>
    </row>
    <row r="75" spans="2:20" ht="15.75" x14ac:dyDescent="0.2">
      <c r="B75" s="603" t="s">
        <v>112</v>
      </c>
      <c r="C75" s="603"/>
      <c r="D75" s="603"/>
      <c r="E75" s="603"/>
      <c r="F75" s="603"/>
      <c r="G75" s="603"/>
      <c r="H75" s="603"/>
      <c r="I75" s="603"/>
      <c r="J75" s="603"/>
      <c r="K75" s="603"/>
      <c r="L75" s="603"/>
      <c r="M75" s="603"/>
      <c r="N75" s="603"/>
      <c r="O75" s="603"/>
      <c r="P75" s="603"/>
      <c r="Q75" s="603"/>
      <c r="R75" s="603"/>
      <c r="S75" s="603"/>
      <c r="T75" s="603"/>
    </row>
    <row r="76" spans="2:20" x14ac:dyDescent="0.2">
      <c r="B76" s="104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</row>
    <row r="77" spans="2:20" x14ac:dyDescent="0.2">
      <c r="C77" s="455" t="s">
        <v>113</v>
      </c>
      <c r="D77" s="455"/>
      <c r="E77" s="455" t="s">
        <v>114</v>
      </c>
      <c r="F77" s="456" t="s">
        <v>115</v>
      </c>
    </row>
  </sheetData>
  <sheetProtection algorithmName="SHA-512" hashValue="Vem4l0LvL8t/lYtkI/2fdL6DJ0C79+3YE36KSNRnksE+zsQNFpWrJ8DzNbZbsPuvR+aZZCb3XqyoWQDQWNpCVA==" saltValue="cJMw8WcwP6bfkiDZYeeA3A==" spinCount="100000" sheet="1" objects="1" scenarios="1"/>
  <mergeCells count="21">
    <mergeCell ref="B75:T75"/>
    <mergeCell ref="B4:D4"/>
    <mergeCell ref="E4:F4"/>
    <mergeCell ref="H4:I4"/>
    <mergeCell ref="J4:K4"/>
    <mergeCell ref="N4:O4"/>
    <mergeCell ref="P4:Q4"/>
    <mergeCell ref="B29:T29"/>
    <mergeCell ref="B9:E9"/>
    <mergeCell ref="B10:E10"/>
    <mergeCell ref="B11:E11"/>
    <mergeCell ref="F9:O9"/>
    <mergeCell ref="M10:O10"/>
    <mergeCell ref="N5:O5"/>
    <mergeCell ref="P5:Q5"/>
    <mergeCell ref="K10:L10"/>
    <mergeCell ref="F10:J10"/>
    <mergeCell ref="F11:O11"/>
    <mergeCell ref="AP54:AT54"/>
    <mergeCell ref="B14:T14"/>
    <mergeCell ref="B52:M52"/>
  </mergeCells>
  <dataValidations count="1">
    <dataValidation type="list" showErrorMessage="1" sqref="P4:Q4" xr:uid="{9574C9EE-52A2-4DA2-85B4-EB9923CF083B}">
      <formula1>"ja,nein"</formula1>
    </dataValidation>
  </dataValidation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h04mnt">
    <tabColor theme="0" tint="-4.9989318521683403E-2"/>
  </sheetPr>
  <dimension ref="B2:AD232"/>
  <sheetViews>
    <sheetView topLeftCell="A171" zoomScale="80" zoomScaleNormal="80" workbookViewId="0">
      <selection activeCell="K13" sqref="K13:M13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4" customFormat="1" ht="32.1" customHeight="1" x14ac:dyDescent="0.2">
      <c r="B2" s="244" t="s">
        <v>152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9"/>
      <c r="C4" s="518"/>
      <c r="D4" s="520"/>
      <c r="E4" s="11"/>
      <c r="F4" s="46" t="s">
        <v>510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532</v>
      </c>
      <c r="AB4" s="497"/>
    </row>
    <row r="5" spans="2:28" x14ac:dyDescent="0.2">
      <c r="B5" s="221"/>
      <c r="C5" s="221"/>
      <c r="D5" s="221"/>
      <c r="E5" s="11"/>
      <c r="F5" s="11"/>
      <c r="G5" s="11"/>
      <c r="H5" s="11"/>
      <c r="I5" s="11"/>
      <c r="J5" s="11"/>
      <c r="K5" s="11"/>
      <c r="AA5" s="12" t="s">
        <v>533</v>
      </c>
      <c r="AB5" s="498"/>
    </row>
    <row r="6" spans="2:28" x14ac:dyDescent="0.2">
      <c r="B6" s="521"/>
      <c r="C6" s="521"/>
      <c r="D6" s="521"/>
    </row>
    <row r="7" spans="2:28" x14ac:dyDescent="0.2">
      <c r="B7" s="522"/>
      <c r="C7" s="523"/>
      <c r="D7" s="524"/>
      <c r="E7" s="11"/>
      <c r="F7" s="46" t="s">
        <v>511</v>
      </c>
      <c r="G7" s="11"/>
      <c r="H7" s="11"/>
      <c r="I7" s="11"/>
      <c r="J7" s="11"/>
      <c r="K7" s="11"/>
      <c r="L7" s="515" t="s">
        <v>550</v>
      </c>
      <c r="M7" s="11"/>
      <c r="N7" s="516"/>
      <c r="O7" s="46" t="s">
        <v>549</v>
      </c>
      <c r="Q7" s="11"/>
      <c r="AA7" s="12" t="s">
        <v>534</v>
      </c>
      <c r="AB7" s="499"/>
    </row>
    <row r="8" spans="2:28" x14ac:dyDescent="0.2">
      <c r="B8" s="221"/>
      <c r="C8" s="221"/>
      <c r="D8" s="221"/>
      <c r="E8" s="11"/>
      <c r="F8" s="11"/>
      <c r="G8" s="11"/>
      <c r="H8" s="11"/>
      <c r="I8" s="11"/>
      <c r="J8" s="11"/>
      <c r="K8" s="11"/>
      <c r="L8" s="11"/>
      <c r="M8" s="11"/>
      <c r="N8" s="517"/>
      <c r="O8" s="12" t="s">
        <v>548</v>
      </c>
      <c r="AA8" s="12" t="s">
        <v>535</v>
      </c>
      <c r="AB8" s="500"/>
    </row>
    <row r="9" spans="2:28" x14ac:dyDescent="0.2">
      <c r="B9" s="521"/>
      <c r="C9" s="521"/>
      <c r="D9" s="521"/>
    </row>
    <row r="10" spans="2:28" x14ac:dyDescent="0.2">
      <c r="B10" s="521"/>
      <c r="C10" s="521"/>
      <c r="D10" s="521"/>
      <c r="Q10" s="11"/>
      <c r="AA10" s="12" t="s">
        <v>536</v>
      </c>
      <c r="AB10" s="501"/>
    </row>
    <row r="11" spans="2:28" x14ac:dyDescent="0.2">
      <c r="B11" s="525"/>
      <c r="C11" s="526"/>
      <c r="D11" s="527"/>
      <c r="E11" s="11"/>
      <c r="F11" s="46" t="s">
        <v>516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551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03" t="s">
        <v>568</v>
      </c>
      <c r="C19" s="603"/>
      <c r="D19" s="603"/>
      <c r="E19" s="603"/>
      <c r="F19" s="603"/>
      <c r="G19" s="603"/>
      <c r="H19" s="603"/>
      <c r="I19" s="603"/>
      <c r="J19" s="603"/>
      <c r="K19" s="603"/>
      <c r="L19" s="603"/>
      <c r="M19" s="603"/>
      <c r="N19" s="603"/>
      <c r="O19" s="603"/>
      <c r="P19" s="603"/>
      <c r="Q19" s="603"/>
      <c r="R19" s="603"/>
      <c r="S19" s="603"/>
      <c r="T19" s="603"/>
      <c r="U19" s="603"/>
    </row>
    <row r="22" spans="2:30" x14ac:dyDescent="0.2">
      <c r="E22" s="631"/>
      <c r="F22" s="632"/>
      <c r="G22" s="632"/>
      <c r="H22" s="633"/>
      <c r="I22" s="278"/>
      <c r="J22" s="278">
        <v>1</v>
      </c>
      <c r="K22" s="278">
        <v>2</v>
      </c>
      <c r="L22" s="278">
        <v>3</v>
      </c>
      <c r="M22" s="278">
        <v>4</v>
      </c>
      <c r="N22" s="278">
        <v>5</v>
      </c>
      <c r="O22" s="278">
        <v>6</v>
      </c>
      <c r="P22" s="278">
        <v>7</v>
      </c>
      <c r="Q22" s="278">
        <v>8</v>
      </c>
      <c r="R22" s="278">
        <v>9</v>
      </c>
      <c r="S22" s="278">
        <v>10</v>
      </c>
      <c r="T22" s="278">
        <v>11</v>
      </c>
      <c r="U22" s="278">
        <v>12</v>
      </c>
      <c r="V22" s="278"/>
      <c r="W22" s="278"/>
      <c r="X22" s="453"/>
      <c r="Y22" s="453"/>
      <c r="Z22" s="454"/>
      <c r="AA22" s="454" t="s">
        <v>512</v>
      </c>
      <c r="AB22" s="495"/>
      <c r="AD22" s="452" t="s">
        <v>115</v>
      </c>
    </row>
    <row r="23" spans="2:30" x14ac:dyDescent="0.2">
      <c r="E23" s="634"/>
      <c r="F23" s="635"/>
      <c r="G23" s="635"/>
      <c r="H23" s="636"/>
      <c r="I23" s="279" t="s">
        <v>153</v>
      </c>
      <c r="J23" s="279" t="s">
        <v>69</v>
      </c>
      <c r="K23" s="279" t="s">
        <v>70</v>
      </c>
      <c r="L23" s="279" t="s">
        <v>71</v>
      </c>
      <c r="M23" s="279" t="s">
        <v>72</v>
      </c>
      <c r="N23" s="279" t="s">
        <v>73</v>
      </c>
      <c r="O23" s="279" t="s">
        <v>74</v>
      </c>
      <c r="P23" s="279" t="s">
        <v>75</v>
      </c>
      <c r="Q23" s="279" t="s">
        <v>76</v>
      </c>
      <c r="R23" s="279" t="s">
        <v>77</v>
      </c>
      <c r="S23" s="279" t="s">
        <v>78</v>
      </c>
      <c r="T23" s="279" t="s">
        <v>79</v>
      </c>
      <c r="U23" s="279" t="s">
        <v>80</v>
      </c>
      <c r="V23" s="279" t="s">
        <v>552</v>
      </c>
      <c r="W23" s="279" t="s">
        <v>155</v>
      </c>
    </row>
    <row r="24" spans="2:30" x14ac:dyDescent="0.2">
      <c r="E24" s="646" t="s">
        <v>546</v>
      </c>
      <c r="F24" s="649"/>
      <c r="G24" s="649"/>
      <c r="H24" s="650"/>
      <c r="I24" s="314"/>
      <c r="J24" s="268">
        <f>JAN!M_Monat</f>
        <v>1</v>
      </c>
      <c r="K24" s="268">
        <f>FEB!M_Monat</f>
        <v>2</v>
      </c>
      <c r="L24" s="268">
        <f>MRZ!M_Monat</f>
        <v>3</v>
      </c>
      <c r="M24" s="268">
        <f>APR!M_Monat</f>
        <v>4</v>
      </c>
      <c r="N24" s="268">
        <f>MAI!M_Monat</f>
        <v>5</v>
      </c>
      <c r="O24" s="268">
        <f>JUN!M_Monat</f>
        <v>6</v>
      </c>
      <c r="P24" s="268">
        <f>JUL!M_Monat</f>
        <v>7</v>
      </c>
      <c r="Q24" s="268">
        <f>AUG!M_Monat</f>
        <v>8</v>
      </c>
      <c r="R24" s="268">
        <f>SEP!M_Monat</f>
        <v>9</v>
      </c>
      <c r="S24" s="268">
        <f>OKT!M_Monat</f>
        <v>10</v>
      </c>
      <c r="T24" s="268">
        <f>NOV!M_Monat</f>
        <v>11</v>
      </c>
      <c r="U24" s="268">
        <f>DEZ!M_Monat</f>
        <v>12</v>
      </c>
      <c r="V24" s="315"/>
      <c r="W24" s="314"/>
    </row>
    <row r="25" spans="2:30" x14ac:dyDescent="0.2">
      <c r="E25" s="642" t="s">
        <v>547</v>
      </c>
      <c r="F25" s="638"/>
      <c r="G25" s="638"/>
      <c r="H25" s="639"/>
      <c r="I25" s="314"/>
      <c r="J25" s="314" t="str">
        <f>JAN!$F$17 &amp; " - " &amp;JAN!$AJ$17</f>
        <v>1 - 5</v>
      </c>
      <c r="K25" s="314" t="str">
        <f>FEB!$F$17 &amp; " - " &amp;FEB!$AJ$17</f>
        <v>5 - 9</v>
      </c>
      <c r="L25" s="314" t="str">
        <f>MRZ!$F$17 &amp; " - " &amp;MRZ!$AJ$17</f>
        <v>9 - 13</v>
      </c>
      <c r="M25" s="314" t="str">
        <f>APR!$F$17 &amp; " - " &amp;APR!$AJ$17</f>
        <v>14 - 18</v>
      </c>
      <c r="N25" s="314" t="str">
        <f>MAI!$F$17 &amp; " - " &amp;MAI!$AJ$17</f>
        <v>18 - 22</v>
      </c>
      <c r="O25" s="314" t="str">
        <f>JUN!$F$17 &amp; " - " &amp;JUN!$AJ$17</f>
        <v>22 - 27</v>
      </c>
      <c r="P25" s="314" t="str">
        <f>JUL!$F$17 &amp; " - " &amp;JUL!$AJ$17</f>
        <v>27 - 31</v>
      </c>
      <c r="Q25" s="314" t="str">
        <f>AUG!$F$17 &amp; " - " &amp;AUG!$AJ$17</f>
        <v>31 - 35</v>
      </c>
      <c r="R25" s="314" t="str">
        <f>SEP!$F$17 &amp; " - " &amp;SEP!$AJ$17</f>
        <v>35 - 40</v>
      </c>
      <c r="S25" s="314" t="str">
        <f>OKT!$F$17 &amp; " - " &amp;OKT!$AJ$17</f>
        <v>40 - 44</v>
      </c>
      <c r="T25" s="314" t="str">
        <f>NOV!$F$17 &amp; " - " &amp;NOV!$AJ$17</f>
        <v>44 - 48</v>
      </c>
      <c r="U25" s="314" t="str">
        <f>DEZ!$F$17 &amp; " - " &amp;DEZ!$AJ$17</f>
        <v>48 - 1</v>
      </c>
      <c r="V25" s="315"/>
      <c r="W25" s="314"/>
    </row>
    <row r="26" spans="2:30" x14ac:dyDescent="0.2">
      <c r="E26" s="646" t="s">
        <v>556</v>
      </c>
      <c r="F26" s="649"/>
      <c r="G26" s="649"/>
      <c r="H26" s="650"/>
      <c r="I26" s="314"/>
      <c r="J26" s="268">
        <f>JAN!$AL$17</f>
        <v>5</v>
      </c>
      <c r="K26" s="268">
        <f>FEB!$AL$17</f>
        <v>5</v>
      </c>
      <c r="L26" s="268">
        <f>MRZ!$AL$17</f>
        <v>5</v>
      </c>
      <c r="M26" s="268">
        <f>APR!$AL$17</f>
        <v>5</v>
      </c>
      <c r="N26" s="268">
        <f>MAI!$AL$17</f>
        <v>5</v>
      </c>
      <c r="O26" s="268">
        <f>JUN!$AL$17</f>
        <v>6</v>
      </c>
      <c r="P26" s="268">
        <f>JUL!$AL$17</f>
        <v>5</v>
      </c>
      <c r="Q26" s="268">
        <f>AUG!$AL$17</f>
        <v>5</v>
      </c>
      <c r="R26" s="268">
        <f>SEP!$AL$17</f>
        <v>6</v>
      </c>
      <c r="S26" s="268">
        <f>OKT!$AL$17</f>
        <v>5</v>
      </c>
      <c r="T26" s="268">
        <f>NOV!$AL$17</f>
        <v>5</v>
      </c>
      <c r="U26" s="268">
        <f>DEZ!$AL$17</f>
        <v>6</v>
      </c>
      <c r="V26" s="543">
        <f>DEZ!$AJ$17</f>
        <v>1</v>
      </c>
      <c r="W26" s="314"/>
    </row>
    <row r="27" spans="2:30" x14ac:dyDescent="0.2">
      <c r="E27" s="646" t="s">
        <v>555</v>
      </c>
      <c r="F27" s="647"/>
      <c r="G27" s="647"/>
      <c r="H27" s="648"/>
      <c r="I27" s="314"/>
      <c r="J27" s="268">
        <f>JAN!$AL$18</f>
        <v>31</v>
      </c>
      <c r="K27" s="268">
        <f>FEB!$AL$18</f>
        <v>29</v>
      </c>
      <c r="L27" s="268">
        <f>MRZ!$AL$18</f>
        <v>31</v>
      </c>
      <c r="M27" s="268">
        <f>APR!$AL$18</f>
        <v>30</v>
      </c>
      <c r="N27" s="268">
        <f>MAI!$AL$18</f>
        <v>31</v>
      </c>
      <c r="O27" s="268">
        <f>JUN!$AL$18</f>
        <v>30</v>
      </c>
      <c r="P27" s="268">
        <f>JUL!$AL$18</f>
        <v>31</v>
      </c>
      <c r="Q27" s="268">
        <f>AUG!$AL$18</f>
        <v>31</v>
      </c>
      <c r="R27" s="268">
        <f>SEP!$AL$18</f>
        <v>30</v>
      </c>
      <c r="S27" s="268">
        <f>OKT!$AL$18</f>
        <v>31</v>
      </c>
      <c r="T27" s="268">
        <f>NOV!$AL$18</f>
        <v>30</v>
      </c>
      <c r="U27" s="268">
        <f>DEZ!$AL$18</f>
        <v>31</v>
      </c>
      <c r="V27" s="530">
        <f t="shared" ref="V27" si="0">SUM(J27:U27)</f>
        <v>366</v>
      </c>
      <c r="W27" s="314"/>
    </row>
    <row r="28" spans="2:30" x14ac:dyDescent="0.2">
      <c r="E28" s="646" t="s">
        <v>553</v>
      </c>
      <c r="F28" s="647"/>
      <c r="G28" s="647"/>
      <c r="H28" s="648"/>
      <c r="I28" s="314"/>
      <c r="J28" s="268">
        <f>JAN!$AL$19</f>
        <v>23</v>
      </c>
      <c r="K28" s="268">
        <f>FEB!$AL$19</f>
        <v>21</v>
      </c>
      <c r="L28" s="268">
        <f>MRZ!$AL$19</f>
        <v>21</v>
      </c>
      <c r="M28" s="268">
        <f>APR!$AL$19</f>
        <v>22</v>
      </c>
      <c r="N28" s="268">
        <f>MAI!$AL$19</f>
        <v>23</v>
      </c>
      <c r="O28" s="268">
        <f>JUN!$AL$19</f>
        <v>20</v>
      </c>
      <c r="P28" s="268">
        <f>JUL!$AL$19</f>
        <v>23</v>
      </c>
      <c r="Q28" s="268">
        <f>AUG!$AL$19</f>
        <v>22</v>
      </c>
      <c r="R28" s="268">
        <f>SEP!$AL$19</f>
        <v>21</v>
      </c>
      <c r="S28" s="268">
        <f>OKT!$AL$19</f>
        <v>23</v>
      </c>
      <c r="T28" s="268">
        <f>NOV!$AL$19</f>
        <v>21</v>
      </c>
      <c r="U28" s="268">
        <f>DEZ!$AL$19</f>
        <v>22</v>
      </c>
      <c r="V28" s="315">
        <f>SUM(J28:U28)/12</f>
        <v>21.833333333333332</v>
      </c>
      <c r="W28" s="314"/>
    </row>
    <row r="29" spans="2:30" x14ac:dyDescent="0.2">
      <c r="E29" s="626" t="s">
        <v>574</v>
      </c>
      <c r="F29" s="627"/>
      <c r="G29" s="627"/>
      <c r="H29" s="628"/>
      <c r="I29" s="314"/>
      <c r="J29" s="531" cm="1">
        <f t="array" ref="J29">SUMPRODUCT((WEEKDAY(JAN!M_Daten,2)=1)*1)</f>
        <v>5</v>
      </c>
      <c r="K29" s="268" cm="1">
        <f t="array" ref="K29">SUMPRODUCT((WEEKDAY(FEB!M_Daten,2)=1)*1)</f>
        <v>4</v>
      </c>
      <c r="L29" s="268" cm="1">
        <f t="array" ref="L29">SUMPRODUCT((WEEKDAY(MRZ!M_Daten,2)=1)*1)</f>
        <v>4</v>
      </c>
      <c r="M29" s="268" cm="1">
        <f t="array" ref="M29">SUMPRODUCT((WEEKDAY(APR!M_Daten,2)=1)*1)</f>
        <v>5</v>
      </c>
      <c r="N29" s="268" cm="1">
        <f t="array" ref="N29">SUMPRODUCT((WEEKDAY(MAI!M_Daten,2)=1)*1)</f>
        <v>4</v>
      </c>
      <c r="O29" s="268" cm="1">
        <f t="array" ref="O29">SUMPRODUCT((WEEKDAY(JUN!M_Daten,2)=1)*1)</f>
        <v>4</v>
      </c>
      <c r="P29" s="268" cm="1">
        <f t="array" ref="P29">SUMPRODUCT((WEEKDAY(JUL!M_Daten,2)=1)*1)</f>
        <v>5</v>
      </c>
      <c r="Q29" s="268" cm="1">
        <f t="array" ref="Q29">SUMPRODUCT((WEEKDAY(AUG!M_Daten,2)=1)*1)</f>
        <v>4</v>
      </c>
      <c r="R29" s="268" cm="1">
        <f t="array" ref="R29">SUMPRODUCT((WEEKDAY(SEP!M_Daten,2)=1)*1)</f>
        <v>5</v>
      </c>
      <c r="S29" s="268" cm="1">
        <f t="array" ref="S29">SUMPRODUCT((WEEKDAY(OKT!M_Daten,2)=1)*1)</f>
        <v>4</v>
      </c>
      <c r="T29" s="268" cm="1">
        <f t="array" ref="T29">SUMPRODUCT((WEEKDAY(NOV!M_Daten,2)=1)*1)</f>
        <v>4</v>
      </c>
      <c r="U29" s="268" cm="1">
        <f t="array" ref="U29">SUMPRODUCT((WEEKDAY(DEZ!M_Daten,2)=1)*1)</f>
        <v>5</v>
      </c>
      <c r="V29" s="315">
        <f>SUM(J29:U29)</f>
        <v>53</v>
      </c>
      <c r="W29" s="314"/>
    </row>
    <row r="30" spans="2:30" x14ac:dyDescent="0.2">
      <c r="E30" s="626" t="s">
        <v>575</v>
      </c>
      <c r="F30" s="629"/>
      <c r="G30" s="629"/>
      <c r="H30" s="630"/>
      <c r="I30" s="314"/>
      <c r="J30" s="268" cm="1">
        <f t="array" ref="J30">SUMPRODUCT((WEEKDAY(JAN!M_Daten,2)=2)*1)</f>
        <v>5</v>
      </c>
      <c r="K30" s="268" cm="1">
        <f t="array" ref="K30">SUMPRODUCT((WEEKDAY(FEB!M_Daten,2)=2)*1)</f>
        <v>4</v>
      </c>
      <c r="L30" s="268" cm="1">
        <f t="array" ref="L30">SUMPRODUCT((WEEKDAY(MRZ!M_Daten,2)=2)*1)</f>
        <v>4</v>
      </c>
      <c r="M30" s="268" cm="1">
        <f t="array" ref="M30">SUMPRODUCT((WEEKDAY(APR!M_Daten,2)=2)*1)</f>
        <v>5</v>
      </c>
      <c r="N30" s="268" cm="1">
        <f t="array" ref="N30">SUMPRODUCT((WEEKDAY(MAI!M_Daten,2)=2)*1)</f>
        <v>4</v>
      </c>
      <c r="O30" s="268" cm="1">
        <f t="array" ref="O30">SUMPRODUCT((WEEKDAY(JUN!M_Daten,2)=2)*1)</f>
        <v>4</v>
      </c>
      <c r="P30" s="268" cm="1">
        <f t="array" ref="P30">SUMPRODUCT((WEEKDAY(JUL!M_Daten,2)=2)*1)</f>
        <v>5</v>
      </c>
      <c r="Q30" s="268" cm="1">
        <f t="array" ref="Q30">SUMPRODUCT((WEEKDAY(AUG!M_Daten,2)=2)*1)</f>
        <v>4</v>
      </c>
      <c r="R30" s="268" cm="1">
        <f t="array" ref="R30">SUMPRODUCT((WEEKDAY(SEP!M_Daten,2)=2)*1)</f>
        <v>4</v>
      </c>
      <c r="S30" s="268" cm="1">
        <f t="array" ref="S30">SUMPRODUCT((WEEKDAY(OKT!M_Daten,2)=2)*1)</f>
        <v>5</v>
      </c>
      <c r="T30" s="268" cm="1">
        <f t="array" ref="T30">SUMPRODUCT((WEEKDAY(NOV!M_Daten,2)=2)*1)</f>
        <v>4</v>
      </c>
      <c r="U30" s="268" cm="1">
        <f t="array" ref="U30">SUMPRODUCT((WEEKDAY(DEZ!M_Daten,2)=2)*1)</f>
        <v>5</v>
      </c>
      <c r="V30" s="315">
        <f t="shared" ref="V30:V35" si="1">SUM(J30:U30)</f>
        <v>53</v>
      </c>
      <c r="W30" s="314"/>
    </row>
    <row r="31" spans="2:30" x14ac:dyDescent="0.2">
      <c r="E31" s="626" t="s">
        <v>576</v>
      </c>
      <c r="F31" s="629"/>
      <c r="G31" s="629"/>
      <c r="H31" s="630"/>
      <c r="I31" s="314"/>
      <c r="J31" s="268" cm="1">
        <f t="array" ref="J31">SUMPRODUCT((WEEKDAY(JAN!M_Daten,2)=3)*1)</f>
        <v>5</v>
      </c>
      <c r="K31" s="268" cm="1">
        <f t="array" ref="K31">SUMPRODUCT((WEEKDAY(FEB!M_Daten,2)=3)*1)</f>
        <v>4</v>
      </c>
      <c r="L31" s="268" cm="1">
        <f t="array" ref="L31">SUMPRODUCT((WEEKDAY(MRZ!M_Daten,2)=3)*1)</f>
        <v>4</v>
      </c>
      <c r="M31" s="268" cm="1">
        <f t="array" ref="M31">SUMPRODUCT((WEEKDAY(APR!M_Daten,2)=3)*1)</f>
        <v>4</v>
      </c>
      <c r="N31" s="268" cm="1">
        <f t="array" ref="N31">SUMPRODUCT((WEEKDAY(MAI!M_Daten,2)=3)*1)</f>
        <v>5</v>
      </c>
      <c r="O31" s="268" cm="1">
        <f t="array" ref="O31">SUMPRODUCT((WEEKDAY(JUN!M_Daten,2)=3)*1)</f>
        <v>4</v>
      </c>
      <c r="P31" s="268" cm="1">
        <f t="array" ref="P31">SUMPRODUCT((WEEKDAY(JUL!M_Daten,2)=3)*1)</f>
        <v>5</v>
      </c>
      <c r="Q31" s="268" cm="1">
        <f t="array" ref="Q31">SUMPRODUCT((WEEKDAY(AUG!M_Daten,2)=3)*1)</f>
        <v>4</v>
      </c>
      <c r="R31" s="268" cm="1">
        <f t="array" ref="R31">SUMPRODUCT((WEEKDAY(SEP!M_Daten,2)=3)*1)</f>
        <v>4</v>
      </c>
      <c r="S31" s="268" cm="1">
        <f t="array" ref="S31">SUMPRODUCT((WEEKDAY(OKT!M_Daten,2)=3)*1)</f>
        <v>5</v>
      </c>
      <c r="T31" s="268" cm="1">
        <f t="array" ref="T31">SUMPRODUCT((WEEKDAY(NOV!M_Daten,2)=3)*1)</f>
        <v>4</v>
      </c>
      <c r="U31" s="268" cm="1">
        <f t="array" ref="U31">SUMPRODUCT((WEEKDAY(DEZ!M_Daten,2)=3)*1)</f>
        <v>4</v>
      </c>
      <c r="V31" s="315">
        <f t="shared" si="1"/>
        <v>52</v>
      </c>
      <c r="W31" s="314"/>
    </row>
    <row r="32" spans="2:30" x14ac:dyDescent="0.2">
      <c r="E32" s="626" t="s">
        <v>577</v>
      </c>
      <c r="F32" s="629"/>
      <c r="G32" s="629"/>
      <c r="H32" s="630"/>
      <c r="I32" s="314"/>
      <c r="J32" s="268" cm="1">
        <f t="array" ref="J32">SUMPRODUCT((WEEKDAY(JAN!M_Daten,2)=4)*1)</f>
        <v>4</v>
      </c>
      <c r="K32" s="268" cm="1">
        <f t="array" ref="K32">SUMPRODUCT((WEEKDAY(FEB!M_Daten,2)=4)*1)</f>
        <v>5</v>
      </c>
      <c r="L32" s="268" cm="1">
        <f t="array" ref="L32">SUMPRODUCT((WEEKDAY(MRZ!M_Daten,2)=4)*1)</f>
        <v>4</v>
      </c>
      <c r="M32" s="268" cm="1">
        <f t="array" ref="M32">SUMPRODUCT((WEEKDAY(APR!M_Daten,2)=4)*1)</f>
        <v>4</v>
      </c>
      <c r="N32" s="268" cm="1">
        <f t="array" ref="N32">SUMPRODUCT((WEEKDAY(MAI!M_Daten,2)=4)*1)</f>
        <v>5</v>
      </c>
      <c r="O32" s="268" cm="1">
        <f t="array" ref="O32">SUMPRODUCT((WEEKDAY(JUN!M_Daten,2)=4)*1)</f>
        <v>4</v>
      </c>
      <c r="P32" s="268" cm="1">
        <f t="array" ref="P32">SUMPRODUCT((WEEKDAY(JUL!M_Daten,2)=4)*1)</f>
        <v>4</v>
      </c>
      <c r="Q32" s="268" cm="1">
        <f t="array" ref="Q32">SUMPRODUCT((WEEKDAY(AUG!M_Daten,2)=4)*1)</f>
        <v>5</v>
      </c>
      <c r="R32" s="268" cm="1">
        <f t="array" ref="R32">SUMPRODUCT((WEEKDAY(SEP!M_Daten,2)=4)*1)</f>
        <v>4</v>
      </c>
      <c r="S32" s="268" cm="1">
        <f t="array" ref="S32">SUMPRODUCT((WEEKDAY(OKT!M_Daten,2)=4)*1)</f>
        <v>5</v>
      </c>
      <c r="T32" s="268" cm="1">
        <f t="array" ref="T32">SUMPRODUCT((WEEKDAY(NOV!M_Daten,2)=4)*1)</f>
        <v>4</v>
      </c>
      <c r="U32" s="268" cm="1">
        <f t="array" ref="U32">SUMPRODUCT((WEEKDAY(DEZ!M_Daten,2)=4)*1)</f>
        <v>4</v>
      </c>
      <c r="V32" s="315">
        <f t="shared" si="1"/>
        <v>52</v>
      </c>
      <c r="W32" s="314"/>
    </row>
    <row r="33" spans="2:30" x14ac:dyDescent="0.2">
      <c r="E33" s="626" t="s">
        <v>578</v>
      </c>
      <c r="F33" s="629"/>
      <c r="G33" s="629"/>
      <c r="H33" s="630"/>
      <c r="I33" s="314"/>
      <c r="J33" s="268" cm="1">
        <f t="array" ref="J33">SUMPRODUCT((WEEKDAY(JAN!M_Daten,2)=5)*1)</f>
        <v>4</v>
      </c>
      <c r="K33" s="268" cm="1">
        <f t="array" ref="K33">SUMPRODUCT((WEEKDAY(FEB!M_Daten,2)=5)*1)</f>
        <v>4</v>
      </c>
      <c r="L33" s="268" cm="1">
        <f t="array" ref="L33">SUMPRODUCT((WEEKDAY(MRZ!M_Daten,2)=5)*1)</f>
        <v>5</v>
      </c>
      <c r="M33" s="268" cm="1">
        <f t="array" ref="M33">SUMPRODUCT((WEEKDAY(APR!M_Daten,2)=5)*1)</f>
        <v>4</v>
      </c>
      <c r="N33" s="268" cm="1">
        <f t="array" ref="N33">SUMPRODUCT((WEEKDAY(MAI!M_Daten,2)=5)*1)</f>
        <v>5</v>
      </c>
      <c r="O33" s="268" cm="1">
        <f t="array" ref="O33">SUMPRODUCT((WEEKDAY(JUN!M_Daten,2)=5)*1)</f>
        <v>4</v>
      </c>
      <c r="P33" s="268" cm="1">
        <f t="array" ref="P33">SUMPRODUCT((WEEKDAY(JUL!M_Daten,2)=5)*1)</f>
        <v>4</v>
      </c>
      <c r="Q33" s="268" cm="1">
        <f t="array" ref="Q33">SUMPRODUCT((WEEKDAY(AUG!M_Daten,2)=5)*1)</f>
        <v>5</v>
      </c>
      <c r="R33" s="268" cm="1">
        <f t="array" ref="R33">SUMPRODUCT((WEEKDAY(SEP!M_Daten,2)=5)*1)</f>
        <v>4</v>
      </c>
      <c r="S33" s="268" cm="1">
        <f t="array" ref="S33">SUMPRODUCT((WEEKDAY(OKT!M_Daten,2)=5)*1)</f>
        <v>4</v>
      </c>
      <c r="T33" s="268" cm="1">
        <f t="array" ref="T33">SUMPRODUCT((WEEKDAY(NOV!M_Daten,2)=5)*1)</f>
        <v>5</v>
      </c>
      <c r="U33" s="268" cm="1">
        <f t="array" ref="U33">SUMPRODUCT((WEEKDAY(DEZ!M_Daten,2)=5)*1)</f>
        <v>4</v>
      </c>
      <c r="V33" s="315">
        <f t="shared" si="1"/>
        <v>52</v>
      </c>
      <c r="W33" s="314"/>
    </row>
    <row r="34" spans="2:30" x14ac:dyDescent="0.2">
      <c r="E34" s="626" t="s">
        <v>579</v>
      </c>
      <c r="F34" s="629"/>
      <c r="G34" s="629"/>
      <c r="H34" s="630"/>
      <c r="I34" s="314"/>
      <c r="J34" s="268" cm="1">
        <f t="array" ref="J34">SUMPRODUCT((WEEKDAY(JAN!M_Daten,2)=6)*1)</f>
        <v>4</v>
      </c>
      <c r="K34" s="268" cm="1">
        <f t="array" ref="K34">SUMPRODUCT((WEEKDAY(FEB!M_Daten,2)=6)*1)</f>
        <v>6</v>
      </c>
      <c r="L34" s="268" cm="1">
        <f t="array" ref="L34">SUMPRODUCT((WEEKDAY(MRZ!M_Daten,2)=6)*1)</f>
        <v>5</v>
      </c>
      <c r="M34" s="268" cm="1">
        <f t="array" ref="M34">SUMPRODUCT((WEEKDAY(APR!M_Daten,2)=6)*1)</f>
        <v>5</v>
      </c>
      <c r="N34" s="268" cm="1">
        <f t="array" ref="N34">SUMPRODUCT((WEEKDAY(MAI!M_Daten,2)=6)*1)</f>
        <v>4</v>
      </c>
      <c r="O34" s="268" cm="1">
        <f t="array" ref="O34">SUMPRODUCT((WEEKDAY(JUN!M_Daten,2)=6)*1)</f>
        <v>6</v>
      </c>
      <c r="P34" s="268" cm="1">
        <f t="array" ref="P34">SUMPRODUCT((WEEKDAY(JUL!M_Daten,2)=6)*1)</f>
        <v>4</v>
      </c>
      <c r="Q34" s="268" cm="1">
        <f t="array" ref="Q34">SUMPRODUCT((WEEKDAY(AUG!M_Daten,2)=6)*1)</f>
        <v>5</v>
      </c>
      <c r="R34" s="268" cm="1">
        <f t="array" ref="R34">SUMPRODUCT((WEEKDAY(SEP!M_Daten,2)=6)*1)</f>
        <v>5</v>
      </c>
      <c r="S34" s="268" cm="1">
        <f t="array" ref="S34">SUMPRODUCT((WEEKDAY(OKT!M_Daten,2)=6)*1)</f>
        <v>4</v>
      </c>
      <c r="T34" s="268" cm="1">
        <f t="array" ref="T34">SUMPRODUCT((WEEKDAY(NOV!M_Daten,2)=6)*1)</f>
        <v>6</v>
      </c>
      <c r="U34" s="268" cm="1">
        <f t="array" ref="U34">SUMPRODUCT((WEEKDAY(DEZ!M_Daten,2)=6)*1)</f>
        <v>4</v>
      </c>
      <c r="V34" s="315">
        <f>SUM(J34:U34)</f>
        <v>58</v>
      </c>
      <c r="W34" s="314"/>
    </row>
    <row r="35" spans="2:30" x14ac:dyDescent="0.2">
      <c r="E35" s="626" t="s">
        <v>580</v>
      </c>
      <c r="F35" s="629"/>
      <c r="G35" s="629"/>
      <c r="H35" s="630"/>
      <c r="I35" s="314"/>
      <c r="J35" s="268" cm="1">
        <f t="array" ref="J35">SUMPRODUCT((WEEKDAY(JAN!M_Daten,2)=7)*1)</f>
        <v>4</v>
      </c>
      <c r="K35" s="268" cm="1">
        <f t="array" ref="K35">SUMPRODUCT((WEEKDAY(FEB!M_Daten,2)=7)*1)</f>
        <v>4</v>
      </c>
      <c r="L35" s="268" cm="1">
        <f t="array" ref="L35">SUMPRODUCT((WEEKDAY(MRZ!M_Daten,2)=7)*1)</f>
        <v>5</v>
      </c>
      <c r="M35" s="268" cm="1">
        <f t="array" ref="M35">SUMPRODUCT((WEEKDAY(APR!M_Daten,2)=7)*1)</f>
        <v>4</v>
      </c>
      <c r="N35" s="268" cm="1">
        <f t="array" ref="N35">SUMPRODUCT((WEEKDAY(MAI!M_Daten,2)=7)*1)</f>
        <v>4</v>
      </c>
      <c r="O35" s="268" cm="1">
        <f t="array" ref="O35">SUMPRODUCT((WEEKDAY(JUN!M_Daten,2)=7)*1)</f>
        <v>5</v>
      </c>
      <c r="P35" s="268" cm="1">
        <f t="array" ref="P35">SUMPRODUCT((WEEKDAY(JUL!M_Daten,2)=7)*1)</f>
        <v>4</v>
      </c>
      <c r="Q35" s="268" cm="1">
        <f t="array" ref="Q35">SUMPRODUCT((WEEKDAY(AUG!M_Daten,2)=7)*1)</f>
        <v>4</v>
      </c>
      <c r="R35" s="268" cm="1">
        <f t="array" ref="R35">SUMPRODUCT((WEEKDAY(SEP!M_Daten,2)=7)*1)</f>
        <v>5</v>
      </c>
      <c r="S35" s="268" cm="1">
        <f t="array" ref="S35">SUMPRODUCT((WEEKDAY(OKT!M_Daten,2)=7)*1)</f>
        <v>4</v>
      </c>
      <c r="T35" s="268" cm="1">
        <f t="array" ref="T35">SUMPRODUCT((WEEKDAY(NOV!M_Daten,2)=7)*1)</f>
        <v>4</v>
      </c>
      <c r="U35" s="268" cm="1">
        <f t="array" ref="U35">SUMPRODUCT((WEEKDAY(DEZ!M_Daten,2)=7)*1)</f>
        <v>5</v>
      </c>
      <c r="V35" s="315">
        <f t="shared" si="1"/>
        <v>52</v>
      </c>
      <c r="W35" s="314"/>
    </row>
    <row r="36" spans="2:30" x14ac:dyDescent="0.2">
      <c r="E36" s="651" t="s">
        <v>612</v>
      </c>
      <c r="F36" s="652"/>
      <c r="G36" s="652"/>
      <c r="H36" s="653"/>
      <c r="I36" s="314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315"/>
      <c r="W36" s="314"/>
    </row>
    <row r="37" spans="2:30" x14ac:dyDescent="0.2">
      <c r="E37" s="646" t="s">
        <v>545</v>
      </c>
      <c r="F37" s="647"/>
      <c r="G37" s="647"/>
      <c r="H37" s="648"/>
      <c r="I37" s="314"/>
      <c r="J37" s="314">
        <f>JAN!$AM$18</f>
        <v>184</v>
      </c>
      <c r="K37" s="314">
        <f>FEB!$AM$18</f>
        <v>168</v>
      </c>
      <c r="L37" s="314">
        <f>MRZ!$AM$18</f>
        <v>168</v>
      </c>
      <c r="M37" s="314">
        <f>APR!$AM$18</f>
        <v>176</v>
      </c>
      <c r="N37" s="314">
        <f>MAI!$AM$18</f>
        <v>184</v>
      </c>
      <c r="O37" s="314">
        <f>JUN!$AM$18</f>
        <v>160</v>
      </c>
      <c r="P37" s="314">
        <f>JUL!$AM$18</f>
        <v>184</v>
      </c>
      <c r="Q37" s="314">
        <f>AUG!$AM$18</f>
        <v>176</v>
      </c>
      <c r="R37" s="314">
        <f>SEP!$AM$18</f>
        <v>168</v>
      </c>
      <c r="S37" s="314">
        <f>OKT!$AM$18</f>
        <v>184</v>
      </c>
      <c r="T37" s="314">
        <f>NOV!$AM$18</f>
        <v>168</v>
      </c>
      <c r="U37" s="314">
        <f>DEZ!$AM$18</f>
        <v>176</v>
      </c>
      <c r="V37" s="315">
        <f>SUM(J37:U37)</f>
        <v>2096</v>
      </c>
      <c r="W37" s="314"/>
    </row>
    <row r="38" spans="2:30" x14ac:dyDescent="0.2">
      <c r="E38" s="643"/>
      <c r="F38" s="644"/>
      <c r="G38" s="644"/>
      <c r="H38" s="645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5"/>
      <c r="W38" s="314"/>
    </row>
    <row r="41" spans="2:30" ht="15.75" x14ac:dyDescent="0.2">
      <c r="B41" s="603" t="s">
        <v>569</v>
      </c>
      <c r="C41" s="603"/>
      <c r="D41" s="603"/>
      <c r="E41" s="603"/>
      <c r="F41" s="603"/>
      <c r="G41" s="603"/>
      <c r="H41" s="603"/>
      <c r="I41" s="603"/>
      <c r="J41" s="603"/>
      <c r="K41" s="603"/>
      <c r="L41" s="603"/>
      <c r="M41" s="603"/>
      <c r="N41" s="603"/>
      <c r="O41" s="603"/>
      <c r="P41" s="603"/>
      <c r="Q41" s="603"/>
      <c r="R41" s="603"/>
      <c r="S41" s="603"/>
      <c r="T41" s="603"/>
      <c r="U41" s="603"/>
      <c r="V41" s="325">
        <f>SUM(V29:V35)</f>
        <v>372</v>
      </c>
    </row>
    <row r="42" spans="2:30" x14ac:dyDescent="0.2">
      <c r="B42" s="12" t="s">
        <v>170</v>
      </c>
    </row>
    <row r="44" spans="2:30" x14ac:dyDescent="0.2">
      <c r="E44" s="631"/>
      <c r="F44" s="632"/>
      <c r="G44" s="632"/>
      <c r="H44" s="633"/>
      <c r="I44" s="278"/>
      <c r="J44" s="278">
        <v>1</v>
      </c>
      <c r="K44" s="278">
        <v>2</v>
      </c>
      <c r="L44" s="278">
        <v>3</v>
      </c>
      <c r="M44" s="278">
        <v>4</v>
      </c>
      <c r="N44" s="278">
        <v>5</v>
      </c>
      <c r="O44" s="278">
        <v>6</v>
      </c>
      <c r="P44" s="278">
        <v>7</v>
      </c>
      <c r="Q44" s="278">
        <v>8</v>
      </c>
      <c r="R44" s="278">
        <v>9</v>
      </c>
      <c r="S44" s="278">
        <v>10</v>
      </c>
      <c r="T44" s="278">
        <v>11</v>
      </c>
      <c r="U44" s="278">
        <v>12</v>
      </c>
      <c r="V44" s="278"/>
      <c r="W44" s="278"/>
      <c r="X44" s="453"/>
      <c r="Y44" s="453"/>
      <c r="Z44" s="454"/>
      <c r="AA44" s="454" t="s">
        <v>512</v>
      </c>
      <c r="AB44" s="495"/>
      <c r="AD44" s="452" t="s">
        <v>115</v>
      </c>
    </row>
    <row r="45" spans="2:30" x14ac:dyDescent="0.2">
      <c r="E45" s="634"/>
      <c r="F45" s="635"/>
      <c r="G45" s="635"/>
      <c r="H45" s="636"/>
      <c r="I45" s="279" t="s">
        <v>153</v>
      </c>
      <c r="J45" s="279" t="s">
        <v>69</v>
      </c>
      <c r="K45" s="279" t="s">
        <v>70</v>
      </c>
      <c r="L45" s="279" t="s">
        <v>71</v>
      </c>
      <c r="M45" s="279" t="s">
        <v>72</v>
      </c>
      <c r="N45" s="279" t="s">
        <v>73</v>
      </c>
      <c r="O45" s="279" t="s">
        <v>74</v>
      </c>
      <c r="P45" s="279" t="s">
        <v>75</v>
      </c>
      <c r="Q45" s="279" t="s">
        <v>76</v>
      </c>
      <c r="R45" s="279" t="s">
        <v>77</v>
      </c>
      <c r="S45" s="279" t="s">
        <v>78</v>
      </c>
      <c r="T45" s="279" t="s">
        <v>79</v>
      </c>
      <c r="U45" s="279" t="s">
        <v>80</v>
      </c>
      <c r="V45" s="279" t="s">
        <v>552</v>
      </c>
      <c r="W45" s="279" t="s">
        <v>155</v>
      </c>
    </row>
    <row r="46" spans="2:30" x14ac:dyDescent="0.2">
      <c r="E46" s="623" t="s">
        <v>554</v>
      </c>
      <c r="F46" s="640"/>
      <c r="G46" s="640"/>
      <c r="H46" s="641"/>
      <c r="I46" s="268"/>
      <c r="J46" s="268">
        <f t="shared" ref="J46:T46" si="2">NETWORKDAYS(DATE(A_Jahr,J44,1),DATE(A_Jahr,K44,1)-1)</f>
        <v>23</v>
      </c>
      <c r="K46" s="268">
        <f t="shared" si="2"/>
        <v>21</v>
      </c>
      <c r="L46" s="268">
        <f t="shared" si="2"/>
        <v>21</v>
      </c>
      <c r="M46" s="268">
        <f t="shared" si="2"/>
        <v>22</v>
      </c>
      <c r="N46" s="268">
        <f t="shared" si="2"/>
        <v>23</v>
      </c>
      <c r="O46" s="268">
        <f t="shared" si="2"/>
        <v>20</v>
      </c>
      <c r="P46" s="268">
        <f t="shared" si="2"/>
        <v>23</v>
      </c>
      <c r="Q46" s="268">
        <f t="shared" si="2"/>
        <v>22</v>
      </c>
      <c r="R46" s="268">
        <f t="shared" si="2"/>
        <v>21</v>
      </c>
      <c r="S46" s="268">
        <f t="shared" si="2"/>
        <v>23</v>
      </c>
      <c r="T46" s="268">
        <f t="shared" si="2"/>
        <v>21</v>
      </c>
      <c r="U46" s="268">
        <f>NETWORKDAYS(DATE(A_Jahr,U44,1),DATE(A_Jahr+1,1,1)-1)</f>
        <v>22</v>
      </c>
      <c r="V46" s="280"/>
      <c r="W46" s="268"/>
      <c r="AD46" s="313" t="s">
        <v>171</v>
      </c>
    </row>
    <row r="47" spans="2:30" x14ac:dyDescent="0.2">
      <c r="E47" s="618" t="s">
        <v>557</v>
      </c>
      <c r="F47" s="619"/>
      <c r="G47" s="619"/>
      <c r="H47" s="620"/>
      <c r="I47" s="311"/>
      <c r="J47" s="311">
        <f>H_Basis!$D$33%</f>
        <v>1</v>
      </c>
      <c r="K47" s="311">
        <f>H_Basis!$D$34%</f>
        <v>1</v>
      </c>
      <c r="L47" s="311">
        <f>H_Basis!$D$35%</f>
        <v>1</v>
      </c>
      <c r="M47" s="311">
        <f>H_Basis!$D$36%</f>
        <v>1</v>
      </c>
      <c r="N47" s="311">
        <f>H_Basis!$D$37%</f>
        <v>1</v>
      </c>
      <c r="O47" s="311">
        <f>H_Basis!$D$38%</f>
        <v>1</v>
      </c>
      <c r="P47" s="311">
        <f>H_Basis!$D$39%</f>
        <v>1</v>
      </c>
      <c r="Q47" s="311">
        <f>H_Basis!$D$40%</f>
        <v>1</v>
      </c>
      <c r="R47" s="311">
        <f>H_Basis!$D$41%</f>
        <v>1</v>
      </c>
      <c r="S47" s="311">
        <f>H_Basis!$D$42%</f>
        <v>1</v>
      </c>
      <c r="T47" s="311">
        <f>H_Basis!$D$43%</f>
        <v>1</v>
      </c>
      <c r="U47" s="311">
        <f>H_Basis!$D$44%</f>
        <v>1</v>
      </c>
      <c r="V47" s="310">
        <f>SUM($J$47:$U$47)/12</f>
        <v>1</v>
      </c>
      <c r="W47" s="311"/>
      <c r="AD47" s="313" t="s">
        <v>173</v>
      </c>
    </row>
    <row r="48" spans="2:30" x14ac:dyDescent="0.2">
      <c r="E48" s="618" t="s">
        <v>562</v>
      </c>
      <c r="F48" s="619"/>
      <c r="G48" s="619"/>
      <c r="H48" s="620"/>
      <c r="I48" s="311"/>
      <c r="J48" s="450">
        <f>JAN!$AN$51</f>
        <v>1</v>
      </c>
      <c r="K48" s="450">
        <f>FEB!$AN$51</f>
        <v>1</v>
      </c>
      <c r="L48" s="450">
        <f>MRZ!$AN$51</f>
        <v>1</v>
      </c>
      <c r="M48" s="450">
        <f>APR!$AN$51</f>
        <v>1</v>
      </c>
      <c r="N48" s="450">
        <f>MAI!$AN$51</f>
        <v>1</v>
      </c>
      <c r="O48" s="450">
        <f>JUN!$AN$51</f>
        <v>1</v>
      </c>
      <c r="P48" s="450">
        <f>JUL!$AN$51</f>
        <v>1</v>
      </c>
      <c r="Q48" s="450">
        <f>AUG!$AN$51</f>
        <v>1</v>
      </c>
      <c r="R48" s="450">
        <f>SEP!$AN$51</f>
        <v>1</v>
      </c>
      <c r="S48" s="450">
        <f>OKT!$AN$51</f>
        <v>1</v>
      </c>
      <c r="T48" s="450">
        <f>NOV!$AN$51</f>
        <v>1</v>
      </c>
      <c r="U48" s="450">
        <f>DEZ!$AN$51</f>
        <v>1</v>
      </c>
      <c r="V48" s="451">
        <f>SUM($J$48:$U$48)/12</f>
        <v>1</v>
      </c>
      <c r="W48" s="311"/>
      <c r="Z48" s="37" t="s">
        <v>560</v>
      </c>
      <c r="AD48" s="313"/>
    </row>
    <row r="49" spans="2:30" x14ac:dyDescent="0.2">
      <c r="E49" s="637" t="s">
        <v>563</v>
      </c>
      <c r="F49" s="638"/>
      <c r="G49" s="638"/>
      <c r="H49" s="639"/>
      <c r="I49" s="311"/>
      <c r="J49" s="450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50" cm="1">
        <f t="array" ref="K49">SUM(SUMPRODUCT((H_tblBGTage=1)*(H_tblBGMnt=K44)*H_tblBG%)*SUMPRODUCT((WEEKDAY(FEB!M_Daten,2)=1)*1),
SUMPRODUCT((H_tblBGTage=2)*(H_tblBGMnt=K44)*H_tblBG%)*SUMPRODUCT((WEEKDAY(FEB!M_Daten,2)=2)*1),
SUMPRODUCT((H_tblBGTage=3)*(H_tblBGMnt=K44)*H_tblBG%)*SUMPRODUCT((WEEKDAY(FEB!M_Daten,2)=3)*1),
SUMPRODUCT((H_tblBGTage=4)*(H_tblBGMnt=K44)*H_tblBG%)*SUMPRODUCT((WEEKDAY(FEB!M_Daten,2)=4)*1),
SUMPRODUCT((H_tblBGTage=5)*(H_tblBGMnt=K44)*H_tblBG%)*SUMPRODUCT((WEEKDAY(FEB!M_Daten,2)=5)*1))/K46</f>
        <v>1</v>
      </c>
      <c r="L49" s="450" cm="1">
        <f t="array" ref="L49">SUM(SUMPRODUCT((H_tblBGTage=1)*(H_tblBGMnt=L44)*H_tblBG%)*SUMPRODUCT((WEEKDAY(MRZ!M_Daten,2)=1)*1),
SUMPRODUCT((H_tblBGTage=2)*(H_tblBGMnt=L44)*H_tblBG%)*SUMPRODUCT((WEEKDAY(MRZ!M_Daten,2)=2)*1),
SUMPRODUCT((H_tblBGTage=3)*(H_tblBGMnt=L44)*H_tblBG%)*SUMPRODUCT((WEEKDAY(MRZ!M_Daten,2)=3)*1),
SUMPRODUCT((H_tblBGTage=4)*(H_tblBGMnt=L44)*H_tblBG%)*SUMPRODUCT((WEEKDAY(MRZ!M_Daten,2)=4)*1),
SUMPRODUCT((H_tblBGTage=5)*(H_tblBGMnt=L44)*H_tblBG%)*SUMPRODUCT((WEEKDAY(MRZ!M_Daten,2)=5)*1))/L46</f>
        <v>1</v>
      </c>
      <c r="M49" s="450" cm="1">
        <f t="array" ref="M49">SUM(SUMPRODUCT((H_tblBGTage=1)*(H_tblBGMnt=M44)*H_tblBG%)*SUMPRODUCT((WEEKDAY(APR!M_Daten,2)=1)*1),
SUMPRODUCT((H_tblBGTage=2)*(H_tblBGMnt=M44)*H_tblBG%)*SUMPRODUCT((WEEKDAY(APR!M_Daten,2)=2)*1),
SUMPRODUCT((H_tblBGTage=3)*(H_tblBGMnt=M44)*H_tblBG%)*SUMPRODUCT((WEEKDAY(APR!M_Daten,2)=3)*1),
SUMPRODUCT((H_tblBGTage=4)*(H_tblBGMnt=M44)*H_tblBG%)*SUMPRODUCT((WEEKDAY(APR!M_Daten,2)=4)*1),
SUMPRODUCT((H_tblBGTage=5)*(H_tblBGMnt=M44)*H_tblBG%)*SUMPRODUCT((WEEKDAY(APR!M_Daten,2)=5)*1))/M46</f>
        <v>1</v>
      </c>
      <c r="N49" s="450" cm="1">
        <f t="array" ref="N49"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50" cm="1">
        <f t="array" ref="O49"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50" cm="1">
        <f t="array" ref="P49"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50" cm="1">
        <f t="array" ref="Q49">SUM(SUMPRODUCT((H_tblBGTage=1)*(H_tblBGMnt=Q44)*H_tblBG%)*SUMPRODUCT((WEEKDAY(AUG!M_Daten,2)=1)*1),
SUMPRODUCT((H_tblBGTage=2)*(H_tblBGMnt=Q44)*H_tblBG%)*SUMPRODUCT((WEEKDAY(AUG!M_Daten,2)=2)*1),
SUMPRODUCT((H_tblBGTage=3)*(H_tblBGMnt=Q44)*H_tblBG%)*SUMPRODUCT((WEEKDAY(AUG!M_Daten,2)=3)*1),
SUMPRODUCT((H_tblBGTage=4)*(H_tblBGMnt=Q44)*H_tblBG%)*SUMPRODUCT((WEEKDAY(AUG!M_Daten,2)=4)*1),
SUMPRODUCT((H_tblBGTage=5)*(H_tblBGMnt=Q44)*H_tblBG%)*SUMPRODUCT((WEEKDAY(AUG!M_Daten,2)=5)*1))/Q46</f>
        <v>1</v>
      </c>
      <c r="R49" s="450" cm="1">
        <f t="array" ref="R49"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50" cm="1">
        <f t="array" ref="S49">SUM(SUMPRODUCT((H_tblBGTage=1)*(H_tblBGMnt=S44)*H_tblBG%)*SUMPRODUCT((WEEKDAY(OKT!M_Daten,2)=1)*1),
SUMPRODUCT((H_tblBGTage=2)*(H_tblBGMnt=S44)*H_tblBG%)*SUMPRODUCT((WEEKDAY(OKT!M_Daten,2)=2)*1),
SUMPRODUCT((H_tblBGTage=3)*(H_tblBGMnt=S44)*H_tblBG%)*SUMPRODUCT((WEEKDAY(OKT!M_Daten,2)=3)*1),
SUMPRODUCT((H_tblBGTage=4)*(H_tblBGMnt=S44)*H_tblBG%)*SUMPRODUCT((WEEKDAY(OKT!M_Daten,2)=4)*1),
SUMPRODUCT((H_tblBGTage=5)*(H_tblBGMnt=S44)*H_tblBG%)*SUMPRODUCT((WEEKDAY(OKT!M_Daten,2)=5)*1))/S46</f>
        <v>1</v>
      </c>
      <c r="T49" s="450" cm="1">
        <f t="array" ref="T49"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50" cm="1">
        <f t="array" ref="U49">SUM(SUMPRODUCT((H_tblBGTage=1)*(H_tblBGMnt=U44)*H_tblBG%)*SUMPRODUCT((WEEKDAY(DEZ!M_Daten,2)=1)*1),
SUMPRODUCT((H_tblBGTage=2)*(H_tblBGMnt=U44)*H_tblBG%)*SUMPRODUCT((WEEKDAY(DEZ!M_Daten,2)=2)*1),
SUMPRODUCT((H_tblBGTage=3)*(H_tblBGMnt=U44)*H_tblBG%)*SUMPRODUCT((WEEKDAY(DEZ!M_Daten,2)=3)*1),
SUMPRODUCT((H_tblBGTage=4)*(H_tblBGMnt=U44)*H_tblBG%)*SUMPRODUCT((WEEKDAY(DEZ!M_Daten,2)=4)*1),
SUMPRODUCT((H_tblBGTage=5)*(H_tblBGMnt=U44)*H_tblBG%)*SUMPRODUCT((WEEKDAY(DEZ!M_Daten,2)=5)*1))/U46</f>
        <v>1</v>
      </c>
      <c r="V49" s="451">
        <f>SUM($J$49:$U$49)/12</f>
        <v>1</v>
      </c>
      <c r="W49" s="311"/>
      <c r="AD49" s="313" t="s">
        <v>174</v>
      </c>
    </row>
    <row r="50" spans="2:30" x14ac:dyDescent="0.2">
      <c r="E50" s="618" t="s">
        <v>558</v>
      </c>
      <c r="F50" s="619"/>
      <c r="G50" s="619"/>
      <c r="H50" s="620"/>
      <c r="I50" s="311"/>
      <c r="J50" s="311">
        <f>JAN!$AM$20</f>
        <v>1</v>
      </c>
      <c r="K50" s="311">
        <f>FEB!$AM$20</f>
        <v>1</v>
      </c>
      <c r="L50" s="311">
        <f>MRZ!$AM$20</f>
        <v>1</v>
      </c>
      <c r="M50" s="311">
        <f>APR!$AM$20</f>
        <v>1</v>
      </c>
      <c r="N50" s="311">
        <f>MAI!$AM$20</f>
        <v>1</v>
      </c>
      <c r="O50" s="311">
        <f>JUN!$AM$20</f>
        <v>1</v>
      </c>
      <c r="P50" s="311">
        <f>JUL!$AM$20</f>
        <v>1</v>
      </c>
      <c r="Q50" s="311">
        <f>AUG!$AM$20</f>
        <v>1</v>
      </c>
      <c r="R50" s="311">
        <f>SEP!$AM$20</f>
        <v>1</v>
      </c>
      <c r="S50" s="311">
        <f>OKT!$AM$20</f>
        <v>1</v>
      </c>
      <c r="T50" s="311">
        <f>NOV!$AM$20</f>
        <v>1</v>
      </c>
      <c r="U50" s="311">
        <f>DEZ!$AM$20</f>
        <v>1</v>
      </c>
      <c r="V50" s="310">
        <f>SUM($J$50:$U$50)/12</f>
        <v>1</v>
      </c>
      <c r="W50" s="311"/>
      <c r="AD50" s="313" t="s">
        <v>175</v>
      </c>
    </row>
    <row r="51" spans="2:30" x14ac:dyDescent="0.2">
      <c r="E51" s="623" t="s">
        <v>176</v>
      </c>
      <c r="F51" s="640"/>
      <c r="G51" s="640"/>
      <c r="H51" s="641"/>
      <c r="I51" s="311"/>
      <c r="J51" s="311" t="str">
        <f t="shared" ref="J51:U51" si="3">IF(J48&lt;A_fldMinPhoch,"t","h")</f>
        <v>h</v>
      </c>
      <c r="K51" s="311" t="str">
        <f t="shared" si="3"/>
        <v>h</v>
      </c>
      <c r="L51" s="311" t="str">
        <f t="shared" si="3"/>
        <v>h</v>
      </c>
      <c r="M51" s="311" t="str">
        <f t="shared" si="3"/>
        <v>h</v>
      </c>
      <c r="N51" s="311" t="str">
        <f t="shared" si="3"/>
        <v>h</v>
      </c>
      <c r="O51" s="311" t="str">
        <f t="shared" si="3"/>
        <v>h</v>
      </c>
      <c r="P51" s="311" t="str">
        <f t="shared" si="3"/>
        <v>h</v>
      </c>
      <c r="Q51" s="311" t="str">
        <f t="shared" si="3"/>
        <v>h</v>
      </c>
      <c r="R51" s="311" t="str">
        <f t="shared" si="3"/>
        <v>h</v>
      </c>
      <c r="S51" s="311" t="str">
        <f t="shared" si="3"/>
        <v>h</v>
      </c>
      <c r="T51" s="311" t="str">
        <f t="shared" si="3"/>
        <v>h</v>
      </c>
      <c r="U51" s="311" t="str">
        <f t="shared" si="3"/>
        <v>h</v>
      </c>
      <c r="V51" s="528">
        <f>COUNTIFS(J51:U51,"t")</f>
        <v>0</v>
      </c>
      <c r="W51" s="529">
        <f>COUNTIFS(J51:U51,"h")</f>
        <v>12</v>
      </c>
      <c r="AA51" s="12" t="s">
        <v>559</v>
      </c>
    </row>
    <row r="54" spans="2:30" ht="15.75" x14ac:dyDescent="0.2">
      <c r="B54" s="603" t="s">
        <v>334</v>
      </c>
      <c r="C54" s="603"/>
      <c r="D54" s="603"/>
      <c r="E54" s="603"/>
      <c r="F54" s="603"/>
      <c r="G54" s="603"/>
      <c r="H54" s="603"/>
      <c r="I54" s="603"/>
      <c r="J54" s="603"/>
      <c r="K54" s="603"/>
      <c r="L54" s="603"/>
      <c r="M54" s="603"/>
      <c r="N54" s="603"/>
      <c r="O54" s="603"/>
      <c r="P54" s="603"/>
      <c r="Q54" s="603"/>
      <c r="R54" s="603"/>
      <c r="S54" s="603"/>
      <c r="T54" s="603"/>
      <c r="U54" s="603"/>
    </row>
    <row r="55" spans="2:30" x14ac:dyDescent="0.2">
      <c r="B55" s="12"/>
    </row>
    <row r="57" spans="2:30" x14ac:dyDescent="0.2">
      <c r="E57" s="631"/>
      <c r="F57" s="632"/>
      <c r="G57" s="632"/>
      <c r="H57" s="633"/>
      <c r="I57" s="278"/>
      <c r="J57" s="278">
        <v>1</v>
      </c>
      <c r="K57" s="278">
        <v>2</v>
      </c>
      <c r="L57" s="278">
        <v>3</v>
      </c>
      <c r="M57" s="278">
        <v>4</v>
      </c>
      <c r="N57" s="278">
        <v>5</v>
      </c>
      <c r="O57" s="278">
        <v>6</v>
      </c>
      <c r="P57" s="278">
        <v>7</v>
      </c>
      <c r="Q57" s="278">
        <v>8</v>
      </c>
      <c r="R57" s="278">
        <v>9</v>
      </c>
      <c r="S57" s="278">
        <v>10</v>
      </c>
      <c r="T57" s="278">
        <v>11</v>
      </c>
      <c r="U57" s="278">
        <v>12</v>
      </c>
      <c r="V57" s="278"/>
      <c r="W57" s="278"/>
      <c r="X57" s="453"/>
      <c r="Y57" s="453"/>
      <c r="Z57" s="454"/>
      <c r="AA57" s="454" t="s">
        <v>512</v>
      </c>
      <c r="AB57" s="495"/>
      <c r="AD57" s="452" t="s">
        <v>115</v>
      </c>
    </row>
    <row r="58" spans="2:30" x14ac:dyDescent="0.2">
      <c r="E58" s="634"/>
      <c r="F58" s="635"/>
      <c r="G58" s="635"/>
      <c r="H58" s="636"/>
      <c r="I58" s="279" t="s">
        <v>153</v>
      </c>
      <c r="J58" s="279" t="s">
        <v>69</v>
      </c>
      <c r="K58" s="279" t="s">
        <v>70</v>
      </c>
      <c r="L58" s="279" t="s">
        <v>71</v>
      </c>
      <c r="M58" s="279" t="s">
        <v>72</v>
      </c>
      <c r="N58" s="279" t="s">
        <v>73</v>
      </c>
      <c r="O58" s="279" t="s">
        <v>74</v>
      </c>
      <c r="P58" s="279" t="s">
        <v>75</v>
      </c>
      <c r="Q58" s="279" t="s">
        <v>76</v>
      </c>
      <c r="R58" s="279" t="s">
        <v>77</v>
      </c>
      <c r="S58" s="279" t="s">
        <v>78</v>
      </c>
      <c r="T58" s="279" t="s">
        <v>79</v>
      </c>
      <c r="U58" s="279" t="s">
        <v>80</v>
      </c>
      <c r="V58" s="279" t="s">
        <v>552</v>
      </c>
      <c r="W58" s="279" t="s">
        <v>155</v>
      </c>
    </row>
    <row r="59" spans="2:30" x14ac:dyDescent="0.2">
      <c r="E59" s="615" t="s">
        <v>561</v>
      </c>
      <c r="F59" s="616"/>
      <c r="G59" s="616"/>
      <c r="H59" s="617"/>
      <c r="I59" s="314">
        <f>I$37</f>
        <v>0</v>
      </c>
      <c r="J59" s="314">
        <f>J$37</f>
        <v>184</v>
      </c>
      <c r="K59" s="314">
        <f t="shared" ref="K59:W59" si="4">K$37</f>
        <v>168</v>
      </c>
      <c r="L59" s="314">
        <f t="shared" si="4"/>
        <v>168</v>
      </c>
      <c r="M59" s="314">
        <f t="shared" si="4"/>
        <v>176</v>
      </c>
      <c r="N59" s="314">
        <f t="shared" si="4"/>
        <v>184</v>
      </c>
      <c r="O59" s="314">
        <f t="shared" si="4"/>
        <v>160</v>
      </c>
      <c r="P59" s="314">
        <f t="shared" si="4"/>
        <v>184</v>
      </c>
      <c r="Q59" s="314">
        <f t="shared" si="4"/>
        <v>176</v>
      </c>
      <c r="R59" s="314">
        <f t="shared" si="4"/>
        <v>168</v>
      </c>
      <c r="S59" s="314">
        <f t="shared" si="4"/>
        <v>184</v>
      </c>
      <c r="T59" s="314">
        <f t="shared" si="4"/>
        <v>168</v>
      </c>
      <c r="U59" s="314">
        <f t="shared" si="4"/>
        <v>176</v>
      </c>
      <c r="V59" s="315">
        <f t="shared" si="4"/>
        <v>2096</v>
      </c>
      <c r="W59" s="314">
        <f t="shared" si="4"/>
        <v>0</v>
      </c>
      <c r="AD59" s="313" t="s">
        <v>172</v>
      </c>
    </row>
    <row r="60" spans="2:30" x14ac:dyDescent="0.2">
      <c r="E60" s="618" t="s">
        <v>564</v>
      </c>
      <c r="F60" s="619"/>
      <c r="G60" s="619"/>
      <c r="H60" s="620"/>
      <c r="I60" s="314"/>
      <c r="J60" s="314">
        <f>JAN!$AM$19</f>
        <v>184</v>
      </c>
      <c r="K60" s="314">
        <f>FEB!$AM$19</f>
        <v>168</v>
      </c>
      <c r="L60" s="314">
        <f>MRZ!$AM$19</f>
        <v>168</v>
      </c>
      <c r="M60" s="314">
        <f>APR!$AM$19</f>
        <v>176</v>
      </c>
      <c r="N60" s="314">
        <f>MAI!$AM$19</f>
        <v>184</v>
      </c>
      <c r="O60" s="314">
        <f>JUN!$AM$19</f>
        <v>160</v>
      </c>
      <c r="P60" s="314">
        <f>JUL!$AM$19</f>
        <v>184</v>
      </c>
      <c r="Q60" s="314">
        <f>AUG!$AM$19</f>
        <v>176</v>
      </c>
      <c r="R60" s="314">
        <f>SEP!$AM$19</f>
        <v>168</v>
      </c>
      <c r="S60" s="314">
        <f>OKT!$AM$19</f>
        <v>184</v>
      </c>
      <c r="T60" s="314">
        <f>NOV!$AM$19</f>
        <v>168</v>
      </c>
      <c r="U60" s="314">
        <f>DEZ!$AM$19</f>
        <v>176</v>
      </c>
      <c r="V60" s="315">
        <f>SUM($J$60:$U$60)</f>
        <v>2096</v>
      </c>
      <c r="W60" s="314"/>
      <c r="Z60" s="37" t="s">
        <v>565</v>
      </c>
      <c r="AD60" s="313"/>
    </row>
    <row r="61" spans="2:30" x14ac:dyDescent="0.2">
      <c r="E61" s="615" t="s">
        <v>566</v>
      </c>
      <c r="F61" s="621"/>
      <c r="G61" s="621"/>
      <c r="H61" s="622"/>
      <c r="I61" s="314"/>
      <c r="J61" s="314">
        <f>-$J$60</f>
        <v>-184</v>
      </c>
      <c r="K61" s="314">
        <f>-$K$60</f>
        <v>-168</v>
      </c>
      <c r="L61" s="314">
        <f>-$L$60</f>
        <v>-168</v>
      </c>
      <c r="M61" s="314">
        <f>-$M$60</f>
        <v>-176</v>
      </c>
      <c r="N61" s="314">
        <f>-$N$60</f>
        <v>-184</v>
      </c>
      <c r="O61" s="314">
        <f>-$O$60</f>
        <v>-160</v>
      </c>
      <c r="P61" s="314">
        <f>-$P$60</f>
        <v>-184</v>
      </c>
      <c r="Q61" s="314">
        <f>-$Q$60</f>
        <v>-176</v>
      </c>
      <c r="R61" s="314">
        <f>-$R$60</f>
        <v>-168</v>
      </c>
      <c r="S61" s="314">
        <f>-$S$60</f>
        <v>-184</v>
      </c>
      <c r="T61" s="314">
        <f>-$T$60</f>
        <v>-168</v>
      </c>
      <c r="U61" s="314">
        <f>-$U$60</f>
        <v>-176</v>
      </c>
      <c r="V61" s="315">
        <f>SUM($J$61:$U$61)</f>
        <v>-2096</v>
      </c>
      <c r="W61" s="314"/>
      <c r="AA61" t="s">
        <v>517</v>
      </c>
    </row>
    <row r="62" spans="2:30" x14ac:dyDescent="0.2">
      <c r="E62" s="623" t="s">
        <v>567</v>
      </c>
      <c r="F62" s="624"/>
      <c r="G62" s="624"/>
      <c r="H62" s="625"/>
      <c r="I62" s="314">
        <f>IF(B_fldSaldoVJ&lt;=0,B_fldSaldoVJ,0)</f>
        <v>0</v>
      </c>
      <c r="J62" s="314">
        <f>$I$62+$J$61</f>
        <v>-184</v>
      </c>
      <c r="K62" s="314">
        <f>$J$62+$K$61</f>
        <v>-352</v>
      </c>
      <c r="L62" s="314">
        <f>$K$62+$L$61</f>
        <v>-520</v>
      </c>
      <c r="M62" s="314">
        <f>$L$62+$M$61</f>
        <v>-696</v>
      </c>
      <c r="N62" s="314">
        <f>$M$62+$N$61</f>
        <v>-880</v>
      </c>
      <c r="O62" s="314">
        <f>$N$62+$O$61</f>
        <v>-1040</v>
      </c>
      <c r="P62" s="314">
        <f>$O$62+$P$61</f>
        <v>-1224</v>
      </c>
      <c r="Q62" s="314">
        <f>$P$62+$Q$61</f>
        <v>-1400</v>
      </c>
      <c r="R62" s="314">
        <f>$Q$62+$R$61</f>
        <v>-1568</v>
      </c>
      <c r="S62" s="314">
        <f>$R$62+$S$61</f>
        <v>-1752</v>
      </c>
      <c r="T62" s="314">
        <f>$S$62+$T$61</f>
        <v>-1920</v>
      </c>
      <c r="U62" s="314">
        <f>$T$62+$U$61</f>
        <v>-2096</v>
      </c>
      <c r="V62" s="558">
        <f>$U$62</f>
        <v>-2096</v>
      </c>
      <c r="W62" s="314"/>
    </row>
    <row r="67" spans="2:30" ht="13.5" thickBot="1" x14ac:dyDescent="0.25">
      <c r="B67" s="549"/>
      <c r="C67" s="549"/>
      <c r="D67" s="549"/>
      <c r="E67" s="549"/>
      <c r="F67" s="549"/>
      <c r="G67" s="549"/>
      <c r="H67" s="549"/>
      <c r="I67" s="549"/>
      <c r="J67" s="549"/>
      <c r="K67" s="549"/>
      <c r="L67" s="549"/>
      <c r="M67" s="549"/>
      <c r="N67" s="549"/>
      <c r="O67" s="549"/>
      <c r="P67" s="549"/>
      <c r="Q67" s="549"/>
      <c r="R67" s="549"/>
      <c r="S67" s="549"/>
      <c r="T67" s="549"/>
      <c r="U67" s="549"/>
      <c r="V67" s="549"/>
      <c r="W67" s="549"/>
      <c r="X67" s="550"/>
      <c r="Y67" s="550"/>
      <c r="Z67" s="549"/>
      <c r="AA67" s="549"/>
      <c r="AB67" s="549"/>
      <c r="AC67" s="549"/>
      <c r="AD67" s="313" t="s">
        <v>601</v>
      </c>
    </row>
    <row r="68" spans="2:30" ht="13.5" thickTop="1" x14ac:dyDescent="0.2"/>
    <row r="72" spans="2:30" ht="15.75" x14ac:dyDescent="0.2">
      <c r="B72" s="603" t="s">
        <v>335</v>
      </c>
      <c r="C72" s="603"/>
      <c r="D72" s="603"/>
      <c r="E72" s="603"/>
      <c r="F72" s="603"/>
      <c r="G72" s="603"/>
      <c r="H72" s="603"/>
      <c r="I72" s="603"/>
      <c r="J72" s="603"/>
      <c r="K72" s="603"/>
      <c r="L72" s="603"/>
      <c r="M72" s="603"/>
      <c r="N72" s="603"/>
      <c r="O72" s="603"/>
      <c r="P72" s="603"/>
      <c r="Q72" s="603"/>
      <c r="R72" s="603"/>
      <c r="S72" s="603"/>
      <c r="T72" s="603"/>
      <c r="U72" s="603"/>
    </row>
    <row r="75" spans="2:30" x14ac:dyDescent="0.2">
      <c r="E75" s="631"/>
      <c r="F75" s="632"/>
      <c r="G75" s="632"/>
      <c r="H75" s="633"/>
      <c r="I75" s="278"/>
      <c r="J75" s="278">
        <v>1</v>
      </c>
      <c r="K75" s="278">
        <v>2</v>
      </c>
      <c r="L75" s="278">
        <v>3</v>
      </c>
      <c r="M75" s="278">
        <v>4</v>
      </c>
      <c r="N75" s="278">
        <v>5</v>
      </c>
      <c r="O75" s="278">
        <v>6</v>
      </c>
      <c r="P75" s="278">
        <v>7</v>
      </c>
      <c r="Q75" s="278">
        <v>8</v>
      </c>
      <c r="R75" s="278">
        <v>9</v>
      </c>
      <c r="S75" s="278">
        <v>10</v>
      </c>
      <c r="T75" s="278">
        <v>11</v>
      </c>
      <c r="U75" s="278">
        <v>12</v>
      </c>
      <c r="V75" s="278"/>
      <c r="W75" s="278"/>
      <c r="X75" s="453"/>
      <c r="Y75" s="453"/>
      <c r="Z75" s="454"/>
      <c r="AA75" s="454" t="s">
        <v>512</v>
      </c>
      <c r="AB75" s="495"/>
      <c r="AD75" s="452" t="s">
        <v>115</v>
      </c>
    </row>
    <row r="76" spans="2:30" x14ac:dyDescent="0.2">
      <c r="E76" s="634"/>
      <c r="F76" s="635"/>
      <c r="G76" s="635"/>
      <c r="H76" s="636"/>
      <c r="I76" s="279" t="s">
        <v>153</v>
      </c>
      <c r="J76" s="279" t="s">
        <v>69</v>
      </c>
      <c r="K76" s="279" t="s">
        <v>70</v>
      </c>
      <c r="L76" s="279" t="s">
        <v>71</v>
      </c>
      <c r="M76" s="279" t="s">
        <v>72</v>
      </c>
      <c r="N76" s="279" t="s">
        <v>73</v>
      </c>
      <c r="O76" s="279" t="s">
        <v>74</v>
      </c>
      <c r="P76" s="279" t="s">
        <v>75</v>
      </c>
      <c r="Q76" s="279" t="s">
        <v>76</v>
      </c>
      <c r="R76" s="279" t="s">
        <v>77</v>
      </c>
      <c r="S76" s="279" t="s">
        <v>78</v>
      </c>
      <c r="T76" s="279" t="s">
        <v>79</v>
      </c>
      <c r="U76" s="279" t="s">
        <v>80</v>
      </c>
      <c r="V76" s="279" t="s">
        <v>552</v>
      </c>
      <c r="W76" s="279" t="s">
        <v>155</v>
      </c>
    </row>
    <row r="77" spans="2:30" x14ac:dyDescent="0.2">
      <c r="E77" s="618" t="s">
        <v>156</v>
      </c>
      <c r="F77" s="654"/>
      <c r="G77" s="654"/>
      <c r="H77" s="655"/>
      <c r="I77" s="314"/>
      <c r="W77" s="314"/>
      <c r="AA77" t="s">
        <v>518</v>
      </c>
      <c r="AB77" s="502"/>
    </row>
    <row r="78" spans="2:30" x14ac:dyDescent="0.2">
      <c r="E78" s="618" t="s">
        <v>157</v>
      </c>
      <c r="F78" s="654"/>
      <c r="G78" s="654"/>
      <c r="H78" s="655"/>
      <c r="I78" s="314"/>
      <c r="W78" s="314"/>
      <c r="AA78" t="s">
        <v>519</v>
      </c>
      <c r="AB78" s="502"/>
    </row>
    <row r="79" spans="2:30" x14ac:dyDescent="0.2">
      <c r="E79" s="618" t="s">
        <v>158</v>
      </c>
      <c r="F79" s="654"/>
      <c r="G79" s="654"/>
      <c r="H79" s="655"/>
      <c r="I79" s="314"/>
      <c r="J79" s="314">
        <f>JAN!$AL$23</f>
        <v>0</v>
      </c>
      <c r="K79" s="314">
        <f>FEB!$AL$23</f>
        <v>0</v>
      </c>
      <c r="L79" s="314">
        <f>MRZ!$AL$23</f>
        <v>0</v>
      </c>
      <c r="M79" s="314">
        <f>APR!$AL$23</f>
        <v>0</v>
      </c>
      <c r="N79" s="314">
        <f>MAI!$AL$23</f>
        <v>0</v>
      </c>
      <c r="O79" s="314">
        <f>JUN!$AL$23</f>
        <v>0</v>
      </c>
      <c r="P79" s="314">
        <f>JUL!$AL$23</f>
        <v>0</v>
      </c>
      <c r="Q79" s="314">
        <f>AUG!$AL$23</f>
        <v>0</v>
      </c>
      <c r="R79" s="314">
        <f>SEP!$AL$23</f>
        <v>0</v>
      </c>
      <c r="S79" s="314">
        <f>OKT!$AL$23</f>
        <v>0</v>
      </c>
      <c r="T79" s="314">
        <f>NOV!$AL$23</f>
        <v>0</v>
      </c>
      <c r="U79" s="314">
        <f>DEZ!$AL$23</f>
        <v>0</v>
      </c>
      <c r="V79" s="315">
        <f>SUM($J$79:$U$79)</f>
        <v>0</v>
      </c>
      <c r="W79" s="314"/>
      <c r="AA79" t="s">
        <v>520</v>
      </c>
      <c r="AB79" s="502"/>
    </row>
    <row r="80" spans="2:30" x14ac:dyDescent="0.2">
      <c r="E80" s="618" t="s">
        <v>159</v>
      </c>
      <c r="F80" s="619"/>
      <c r="G80" s="619"/>
      <c r="H80" s="620"/>
      <c r="I80" s="314"/>
      <c r="J80" s="314">
        <f>JAN!$AL$25</f>
        <v>0</v>
      </c>
      <c r="K80" s="314">
        <f>FEB!$AL$25</f>
        <v>0</v>
      </c>
      <c r="L80" s="314">
        <f>MRZ!$AL$25</f>
        <v>0</v>
      </c>
      <c r="M80" s="314">
        <f>APR!$AL$25</f>
        <v>0</v>
      </c>
      <c r="N80" s="314">
        <f>MAI!$AL$25</f>
        <v>0</v>
      </c>
      <c r="O80" s="314">
        <f>JUN!$AL$25</f>
        <v>0</v>
      </c>
      <c r="P80" s="314">
        <f>JUL!$AL$25</f>
        <v>0</v>
      </c>
      <c r="Q80" s="314">
        <f>AUG!$AL$25</f>
        <v>0</v>
      </c>
      <c r="R80" s="314">
        <f>SEP!$AL$25</f>
        <v>0</v>
      </c>
      <c r="S80" s="314">
        <f>OKT!$AL$25</f>
        <v>0</v>
      </c>
      <c r="T80" s="314">
        <f>NOV!$AL$25</f>
        <v>0</v>
      </c>
      <c r="U80" s="314">
        <f>DEZ!$AL$25</f>
        <v>0</v>
      </c>
      <c r="V80" s="315">
        <f>SUM($J$80:$U$80)</f>
        <v>0</v>
      </c>
      <c r="W80" s="314"/>
      <c r="AA80" t="s">
        <v>522</v>
      </c>
      <c r="AB80" s="502"/>
    </row>
    <row r="81" spans="5:30" x14ac:dyDescent="0.2">
      <c r="E81" s="623" t="s">
        <v>160</v>
      </c>
      <c r="F81" s="640"/>
      <c r="G81" s="640"/>
      <c r="H81" s="641"/>
      <c r="I81" s="314"/>
      <c r="J81" s="314">
        <f>SUM($J$79:$J$80)</f>
        <v>0</v>
      </c>
      <c r="K81" s="314">
        <f>SUM($K$79:$K$80)</f>
        <v>0</v>
      </c>
      <c r="L81" s="314">
        <f>SUM($L$79:$L$80)</f>
        <v>0</v>
      </c>
      <c r="M81" s="314">
        <f>SUM($M$79:$M$80)</f>
        <v>0</v>
      </c>
      <c r="N81" s="314">
        <f>SUM($N$79:$N$80)</f>
        <v>0</v>
      </c>
      <c r="O81" s="314">
        <f>SUM($O$79:$O$80)</f>
        <v>0</v>
      </c>
      <c r="P81" s="314">
        <f>SUM($P$79:$P$80)</f>
        <v>0</v>
      </c>
      <c r="Q81" s="314">
        <f>SUM($Q$79:$Q$80)</f>
        <v>0</v>
      </c>
      <c r="R81" s="314">
        <f>SUM($R$79:$R$80)</f>
        <v>0</v>
      </c>
      <c r="S81" s="314">
        <f>SUM($S$79:$S$80)</f>
        <v>0</v>
      </c>
      <c r="T81" s="314">
        <f>SUM($T$79:$T$80)</f>
        <v>0</v>
      </c>
      <c r="U81" s="314">
        <f>SUM($U$79:$U$80)</f>
        <v>0</v>
      </c>
      <c r="V81" s="315">
        <f>SUM($J$81:$U$81)</f>
        <v>0</v>
      </c>
      <c r="W81" s="314"/>
    </row>
    <row r="82" spans="5:30" x14ac:dyDescent="0.2">
      <c r="E82" s="618" t="s">
        <v>161</v>
      </c>
      <c r="F82" s="619"/>
      <c r="G82" s="619"/>
      <c r="H82" s="620"/>
      <c r="I82" s="314"/>
      <c r="J82" s="314">
        <f>JAN!$AL$24</f>
        <v>0</v>
      </c>
      <c r="K82" s="314">
        <f>FEB!$AL$24</f>
        <v>0</v>
      </c>
      <c r="L82" s="314">
        <f>MRZ!$AL$24</f>
        <v>0</v>
      </c>
      <c r="M82" s="314">
        <f>APR!$AL$24</f>
        <v>0</v>
      </c>
      <c r="N82" s="314">
        <f>MAI!$AL$24</f>
        <v>0</v>
      </c>
      <c r="O82" s="314">
        <f>JUN!$AL$24</f>
        <v>0</v>
      </c>
      <c r="P82" s="314">
        <f>JUL!$AL$24</f>
        <v>0</v>
      </c>
      <c r="Q82" s="314">
        <f>AUG!$AL$24</f>
        <v>0</v>
      </c>
      <c r="R82" s="314">
        <f>SEP!$AL$24</f>
        <v>0</v>
      </c>
      <c r="S82" s="314">
        <f>OKT!$AL$24</f>
        <v>0</v>
      </c>
      <c r="T82" s="314">
        <f>NOV!$AL$24</f>
        <v>0</v>
      </c>
      <c r="U82" s="314">
        <f>DEZ!$AL$24</f>
        <v>0</v>
      </c>
      <c r="V82" s="315">
        <f>SUM($J$82:$U$82)</f>
        <v>0</v>
      </c>
      <c r="W82" s="314"/>
      <c r="AA82" t="s">
        <v>521</v>
      </c>
      <c r="AB82" s="502"/>
    </row>
    <row r="83" spans="5:30" x14ac:dyDescent="0.2">
      <c r="E83" s="664" t="s">
        <v>162</v>
      </c>
      <c r="F83" s="624"/>
      <c r="G83" s="624"/>
      <c r="H83" s="625"/>
      <c r="I83" s="314"/>
      <c r="J83" s="314">
        <f>SUM($J$81:$J$82)</f>
        <v>0</v>
      </c>
      <c r="K83" s="314">
        <f>SUM($K$81:$K$82)</f>
        <v>0</v>
      </c>
      <c r="L83" s="314">
        <f>SUM($L$81:$L$82)</f>
        <v>0</v>
      </c>
      <c r="M83" s="314">
        <f>SUM($M$81:$M$82)</f>
        <v>0</v>
      </c>
      <c r="N83" s="314">
        <f>SUM($N$81:$N$82)</f>
        <v>0</v>
      </c>
      <c r="O83" s="314">
        <f>SUM($O$81:$O$82)</f>
        <v>0</v>
      </c>
      <c r="P83" s="314">
        <f>SUM($P$81:$P$82)</f>
        <v>0</v>
      </c>
      <c r="Q83" s="314">
        <f>SUM($Q$81:$Q$82)</f>
        <v>0</v>
      </c>
      <c r="R83" s="314">
        <f>SUM($R$81:$R$82)</f>
        <v>0</v>
      </c>
      <c r="S83" s="314">
        <f>SUM($S$81:$S$82)</f>
        <v>0</v>
      </c>
      <c r="T83" s="314">
        <f>SUM($T$81:$T$82)</f>
        <v>0</v>
      </c>
      <c r="U83" s="314">
        <f>SUM($U$81:$U$82)</f>
        <v>0</v>
      </c>
      <c r="V83" s="315">
        <f>SUM($J$83:$U$83)</f>
        <v>0</v>
      </c>
      <c r="W83" s="314"/>
    </row>
    <row r="86" spans="5:30" x14ac:dyDescent="0.2">
      <c r="E86" s="631"/>
      <c r="F86" s="632"/>
      <c r="G86" s="632"/>
      <c r="H86" s="633"/>
      <c r="I86" s="278"/>
      <c r="J86" s="278">
        <v>1</v>
      </c>
      <c r="K86" s="278">
        <v>2</v>
      </c>
      <c r="L86" s="278">
        <v>3</v>
      </c>
      <c r="M86" s="278">
        <v>4</v>
      </c>
      <c r="N86" s="278">
        <v>5</v>
      </c>
      <c r="O86" s="278">
        <v>6</v>
      </c>
      <c r="P86" s="278">
        <v>7</v>
      </c>
      <c r="Q86" s="278">
        <v>8</v>
      </c>
      <c r="R86" s="278">
        <v>9</v>
      </c>
      <c r="S86" s="278">
        <v>10</v>
      </c>
      <c r="T86" s="278">
        <v>11</v>
      </c>
      <c r="U86" s="278">
        <v>12</v>
      </c>
      <c r="V86" s="278"/>
      <c r="W86" s="278"/>
      <c r="X86" s="453"/>
      <c r="Y86" s="453"/>
      <c r="Z86" s="454"/>
      <c r="AA86" s="454" t="s">
        <v>512</v>
      </c>
      <c r="AB86" s="495"/>
      <c r="AD86" s="452" t="s">
        <v>115</v>
      </c>
    </row>
    <row r="87" spans="5:30" x14ac:dyDescent="0.2">
      <c r="E87" s="634"/>
      <c r="F87" s="635"/>
      <c r="G87" s="635"/>
      <c r="H87" s="636"/>
      <c r="I87" s="279" t="s">
        <v>153</v>
      </c>
      <c r="J87" s="279" t="s">
        <v>69</v>
      </c>
      <c r="K87" s="279" t="s">
        <v>70</v>
      </c>
      <c r="L87" s="279" t="s">
        <v>71</v>
      </c>
      <c r="M87" s="279" t="s">
        <v>72</v>
      </c>
      <c r="N87" s="279" t="s">
        <v>73</v>
      </c>
      <c r="O87" s="279" t="s">
        <v>74</v>
      </c>
      <c r="P87" s="279" t="s">
        <v>75</v>
      </c>
      <c r="Q87" s="279" t="s">
        <v>76</v>
      </c>
      <c r="R87" s="279" t="s">
        <v>77</v>
      </c>
      <c r="S87" s="279" t="s">
        <v>78</v>
      </c>
      <c r="T87" s="279" t="s">
        <v>79</v>
      </c>
      <c r="U87" s="279" t="s">
        <v>80</v>
      </c>
      <c r="V87" s="279" t="s">
        <v>552</v>
      </c>
      <c r="W87" s="279" t="s">
        <v>155</v>
      </c>
    </row>
    <row r="90" spans="5:30" x14ac:dyDescent="0.2">
      <c r="E90" s="615" t="s">
        <v>163</v>
      </c>
      <c r="F90" s="621"/>
      <c r="G90" s="621"/>
      <c r="H90" s="622"/>
      <c r="I90" s="314"/>
      <c r="J90" s="314">
        <f>$J$83</f>
        <v>0</v>
      </c>
      <c r="K90" s="314">
        <f>$K$83</f>
        <v>0</v>
      </c>
      <c r="L90" s="314">
        <f>$L$83</f>
        <v>0</v>
      </c>
      <c r="M90" s="314">
        <f>$M$83</f>
        <v>0</v>
      </c>
      <c r="N90" s="314">
        <f>$N$83</f>
        <v>0</v>
      </c>
      <c r="O90" s="314">
        <f>$O$83</f>
        <v>0</v>
      </c>
      <c r="P90" s="314">
        <f>$P$83</f>
        <v>0</v>
      </c>
      <c r="Q90" s="314">
        <f>$Q$83</f>
        <v>0</v>
      </c>
      <c r="R90" s="314">
        <f>$R$83</f>
        <v>0</v>
      </c>
      <c r="S90" s="314">
        <f>$S$83</f>
        <v>0</v>
      </c>
      <c r="T90" s="314">
        <f>$T$83</f>
        <v>0</v>
      </c>
      <c r="U90" s="314">
        <f>$U$83</f>
        <v>0</v>
      </c>
      <c r="V90" s="315"/>
      <c r="W90" s="314"/>
    </row>
    <row r="91" spans="5:30" x14ac:dyDescent="0.2">
      <c r="E91" s="615" t="s">
        <v>164</v>
      </c>
      <c r="F91" s="621"/>
      <c r="G91" s="621"/>
      <c r="H91" s="622"/>
      <c r="I91" s="314"/>
      <c r="J91" s="314">
        <f>$J$126</f>
        <v>0</v>
      </c>
      <c r="K91" s="314">
        <f>$K$126</f>
        <v>0</v>
      </c>
      <c r="L91" s="314">
        <f>$L$126</f>
        <v>0</v>
      </c>
      <c r="M91" s="314">
        <f>$M$126</f>
        <v>0</v>
      </c>
      <c r="N91" s="314">
        <f>$N$126</f>
        <v>0</v>
      </c>
      <c r="O91" s="314">
        <f>$O$126</f>
        <v>0</v>
      </c>
      <c r="P91" s="314">
        <f>$P$126</f>
        <v>0</v>
      </c>
      <c r="Q91" s="314">
        <f>$Q$126</f>
        <v>0</v>
      </c>
      <c r="R91" s="314">
        <f>$R$126</f>
        <v>0</v>
      </c>
      <c r="S91" s="314">
        <f>$S$126</f>
        <v>0</v>
      </c>
      <c r="T91" s="314">
        <f>$T$126</f>
        <v>0</v>
      </c>
      <c r="U91" s="314">
        <f>$U$126</f>
        <v>0</v>
      </c>
      <c r="V91" s="315"/>
      <c r="W91" s="314"/>
    </row>
    <row r="92" spans="5:30" x14ac:dyDescent="0.2">
      <c r="E92" s="615" t="s">
        <v>165</v>
      </c>
      <c r="F92" s="616"/>
      <c r="G92" s="616"/>
      <c r="H92" s="617"/>
      <c r="I92" s="314"/>
      <c r="J92" s="314">
        <f>$J$121</f>
        <v>0</v>
      </c>
      <c r="K92" s="314">
        <f>$K$121</f>
        <v>0</v>
      </c>
      <c r="L92" s="314">
        <f>$L$121</f>
        <v>0</v>
      </c>
      <c r="M92" s="314">
        <f>$M$121</f>
        <v>0</v>
      </c>
      <c r="N92" s="314">
        <f>$N$121</f>
        <v>0</v>
      </c>
      <c r="O92" s="314">
        <f>$O$121</f>
        <v>0</v>
      </c>
      <c r="P92" s="314">
        <f>$P$121</f>
        <v>0</v>
      </c>
      <c r="Q92" s="314">
        <f>$Q$121</f>
        <v>0</v>
      </c>
      <c r="R92" s="314">
        <f>$R$121</f>
        <v>0</v>
      </c>
      <c r="S92" s="314">
        <f>$S$121</f>
        <v>0</v>
      </c>
      <c r="T92" s="314">
        <f>$T$121</f>
        <v>0</v>
      </c>
      <c r="U92" s="314">
        <f>$U$121</f>
        <v>0</v>
      </c>
      <c r="V92" s="315"/>
      <c r="W92" s="314"/>
    </row>
    <row r="93" spans="5:30" x14ac:dyDescent="0.2">
      <c r="E93" s="615" t="s">
        <v>166</v>
      </c>
      <c r="F93" s="621"/>
      <c r="G93" s="621"/>
      <c r="H93" s="622"/>
      <c r="I93" s="314"/>
      <c r="J93" s="314">
        <f>$J$181</f>
        <v>0</v>
      </c>
      <c r="K93" s="314">
        <f>$K$181</f>
        <v>0</v>
      </c>
      <c r="L93" s="314">
        <f>$L$181</f>
        <v>0</v>
      </c>
      <c r="M93" s="314">
        <f>$M$181</f>
        <v>0</v>
      </c>
      <c r="N93" s="314">
        <f>$N$181</f>
        <v>0</v>
      </c>
      <c r="O93" s="314">
        <f>$O$181</f>
        <v>0</v>
      </c>
      <c r="P93" s="314">
        <f>$P$181</f>
        <v>0</v>
      </c>
      <c r="Q93" s="314">
        <f>$Q$181</f>
        <v>0</v>
      </c>
      <c r="R93" s="314">
        <f>$R$181</f>
        <v>0</v>
      </c>
      <c r="S93" s="314">
        <f>$S$181</f>
        <v>0</v>
      </c>
      <c r="T93" s="314">
        <f>$T$181</f>
        <v>0</v>
      </c>
      <c r="U93" s="314">
        <f>$U$181</f>
        <v>0</v>
      </c>
      <c r="V93" s="315"/>
      <c r="W93" s="314"/>
    </row>
    <row r="94" spans="5:30" x14ac:dyDescent="0.2">
      <c r="E94" s="615" t="s">
        <v>167</v>
      </c>
      <c r="F94" s="621"/>
      <c r="G94" s="621"/>
      <c r="H94" s="622"/>
      <c r="I94" s="314"/>
      <c r="J94" s="314">
        <f>$J$205</f>
        <v>0</v>
      </c>
      <c r="K94" s="314">
        <f>$K$205</f>
        <v>0</v>
      </c>
      <c r="L94" s="314">
        <f>$L$205</f>
        <v>0</v>
      </c>
      <c r="M94" s="314">
        <f>$M$205</f>
        <v>0</v>
      </c>
      <c r="N94" s="314">
        <f>$N$205</f>
        <v>0</v>
      </c>
      <c r="O94" s="314">
        <f>$O$205</f>
        <v>0</v>
      </c>
      <c r="P94" s="314">
        <f>$P$205</f>
        <v>0</v>
      </c>
      <c r="Q94" s="314">
        <f>$Q$205</f>
        <v>0</v>
      </c>
      <c r="R94" s="314">
        <f>$R$205</f>
        <v>0</v>
      </c>
      <c r="S94" s="314">
        <f>$S$205</f>
        <v>0</v>
      </c>
      <c r="T94" s="314">
        <f>$T$205</f>
        <v>0</v>
      </c>
      <c r="U94" s="314">
        <f>$U$205</f>
        <v>0</v>
      </c>
      <c r="V94" s="315"/>
      <c r="W94" s="314"/>
    </row>
    <row r="95" spans="5:30" x14ac:dyDescent="0.2">
      <c r="E95" s="615" t="s">
        <v>168</v>
      </c>
      <c r="F95" s="621"/>
      <c r="G95" s="621"/>
      <c r="H95" s="622"/>
      <c r="I95" s="314"/>
      <c r="J95" s="314">
        <f>$J$199</f>
        <v>0</v>
      </c>
      <c r="K95" s="314">
        <f>$K$199</f>
        <v>0</v>
      </c>
      <c r="L95" s="314">
        <f>$L$199</f>
        <v>0</v>
      </c>
      <c r="M95" s="314">
        <f>$M$199</f>
        <v>0</v>
      </c>
      <c r="N95" s="314">
        <f>$N$199</f>
        <v>0</v>
      </c>
      <c r="O95" s="314">
        <f>$O$199</f>
        <v>0</v>
      </c>
      <c r="P95" s="314">
        <f>$P$199</f>
        <v>0</v>
      </c>
      <c r="Q95" s="314">
        <f>$Q$199</f>
        <v>0</v>
      </c>
      <c r="R95" s="314">
        <f>$R$199</f>
        <v>0</v>
      </c>
      <c r="S95" s="314">
        <f>$S$199</f>
        <v>0</v>
      </c>
      <c r="T95" s="314">
        <f>$T$199</f>
        <v>0</v>
      </c>
      <c r="U95" s="314">
        <f>$U$199</f>
        <v>0</v>
      </c>
      <c r="V95" s="315"/>
      <c r="W95" s="314"/>
    </row>
    <row r="96" spans="5:30" x14ac:dyDescent="0.2">
      <c r="E96" s="665" t="s">
        <v>596</v>
      </c>
      <c r="F96" s="624"/>
      <c r="G96" s="624"/>
      <c r="H96" s="625"/>
      <c r="I96" s="314"/>
      <c r="J96" s="314">
        <f>J$61+SUM(J$90:J$95)+J161-J$164</f>
        <v>-184</v>
      </c>
      <c r="K96" s="314">
        <f t="shared" ref="K96:U96" si="5">K$61+SUM(K$90:K$95)+K161-K$164</f>
        <v>-168</v>
      </c>
      <c r="L96" s="314">
        <f t="shared" si="5"/>
        <v>-168</v>
      </c>
      <c r="M96" s="314">
        <f t="shared" si="5"/>
        <v>-176</v>
      </c>
      <c r="N96" s="314">
        <f t="shared" si="5"/>
        <v>-184</v>
      </c>
      <c r="O96" s="314">
        <f t="shared" si="5"/>
        <v>-160</v>
      </c>
      <c r="P96" s="314">
        <f t="shared" si="5"/>
        <v>-184</v>
      </c>
      <c r="Q96" s="314">
        <f t="shared" si="5"/>
        <v>-176</v>
      </c>
      <c r="R96" s="314">
        <f t="shared" si="5"/>
        <v>-168</v>
      </c>
      <c r="S96" s="314">
        <f t="shared" si="5"/>
        <v>-184</v>
      </c>
      <c r="T96" s="314">
        <f t="shared" si="5"/>
        <v>-168</v>
      </c>
      <c r="U96" s="314">
        <f t="shared" si="5"/>
        <v>-176</v>
      </c>
      <c r="V96" s="315"/>
      <c r="W96" s="314"/>
    </row>
    <row r="97" spans="5:23" x14ac:dyDescent="0.2">
      <c r="E97" s="665" t="s">
        <v>169</v>
      </c>
      <c r="F97" s="624"/>
      <c r="G97" s="624"/>
      <c r="H97" s="625"/>
      <c r="I97" s="314"/>
      <c r="J97" s="314">
        <f>$I$97+$J$96</f>
        <v>-184</v>
      </c>
      <c r="K97" s="314">
        <f>$J$97+$K$96</f>
        <v>-352</v>
      </c>
      <c r="L97" s="314">
        <f>$K$97+$L$96</f>
        <v>-520</v>
      </c>
      <c r="M97" s="314">
        <f>$L$97+$M$96</f>
        <v>-696</v>
      </c>
      <c r="N97" s="314">
        <f>$M$97+$N$96</f>
        <v>-880</v>
      </c>
      <c r="O97" s="314">
        <f>$N$97+$O$96</f>
        <v>-1040</v>
      </c>
      <c r="P97" s="314">
        <f>$O$97+$P$96</f>
        <v>-1224</v>
      </c>
      <c r="Q97" s="314">
        <f>$P$97+$Q$96</f>
        <v>-1400</v>
      </c>
      <c r="R97" s="314">
        <f>$Q$97+$R$96</f>
        <v>-1568</v>
      </c>
      <c r="S97" s="314">
        <f>$R$97+$S$96</f>
        <v>-1752</v>
      </c>
      <c r="T97" s="314">
        <f>$S$97+$T$96</f>
        <v>-1920</v>
      </c>
      <c r="U97" s="314">
        <f>$T$97+$U$96</f>
        <v>-2096</v>
      </c>
      <c r="V97" s="315"/>
      <c r="W97" s="314"/>
    </row>
    <row r="116" spans="2:30" ht="15.75" x14ac:dyDescent="0.2">
      <c r="B116" s="603" t="s">
        <v>570</v>
      </c>
      <c r="C116" s="603"/>
      <c r="D116" s="603"/>
      <c r="E116" s="603"/>
      <c r="F116" s="603"/>
      <c r="G116" s="603"/>
      <c r="H116" s="603"/>
      <c r="I116" s="603"/>
      <c r="J116" s="603"/>
      <c r="K116" s="603"/>
      <c r="L116" s="603"/>
      <c r="M116" s="603"/>
      <c r="N116" s="603"/>
      <c r="O116" s="603"/>
      <c r="P116" s="603"/>
      <c r="Q116" s="603"/>
      <c r="R116" s="603"/>
      <c r="S116" s="603"/>
      <c r="T116" s="603"/>
      <c r="U116" s="603"/>
    </row>
    <row r="119" spans="2:30" x14ac:dyDescent="0.2">
      <c r="E119" s="631"/>
      <c r="F119" s="632"/>
      <c r="G119" s="632"/>
      <c r="H119" s="633"/>
      <c r="I119" s="278"/>
      <c r="J119" s="278">
        <v>1</v>
      </c>
      <c r="K119" s="278">
        <v>2</v>
      </c>
      <c r="L119" s="278">
        <v>3</v>
      </c>
      <c r="M119" s="278">
        <v>4</v>
      </c>
      <c r="N119" s="278">
        <v>5</v>
      </c>
      <c r="O119" s="278">
        <v>6</v>
      </c>
      <c r="P119" s="278">
        <v>7</v>
      </c>
      <c r="Q119" s="278">
        <v>8</v>
      </c>
      <c r="R119" s="278">
        <v>9</v>
      </c>
      <c r="S119" s="278">
        <v>10</v>
      </c>
      <c r="T119" s="278">
        <v>11</v>
      </c>
      <c r="U119" s="278">
        <v>12</v>
      </c>
      <c r="V119" s="278"/>
      <c r="W119" s="278"/>
      <c r="X119" s="453"/>
      <c r="Y119" s="453"/>
      <c r="Z119" s="454"/>
      <c r="AA119" s="454" t="s">
        <v>512</v>
      </c>
      <c r="AB119" s="495"/>
      <c r="AD119" s="452" t="s">
        <v>115</v>
      </c>
    </row>
    <row r="120" spans="2:30" x14ac:dyDescent="0.2">
      <c r="E120" s="634"/>
      <c r="F120" s="635"/>
      <c r="G120" s="635"/>
      <c r="H120" s="636"/>
      <c r="I120" s="279" t="s">
        <v>153</v>
      </c>
      <c r="J120" s="279" t="s">
        <v>69</v>
      </c>
      <c r="K120" s="279" t="s">
        <v>70</v>
      </c>
      <c r="L120" s="279" t="s">
        <v>71</v>
      </c>
      <c r="M120" s="279" t="s">
        <v>72</v>
      </c>
      <c r="N120" s="279" t="s">
        <v>73</v>
      </c>
      <c r="O120" s="279" t="s">
        <v>74</v>
      </c>
      <c r="P120" s="279" t="s">
        <v>75</v>
      </c>
      <c r="Q120" s="279" t="s">
        <v>76</v>
      </c>
      <c r="R120" s="279" t="s">
        <v>77</v>
      </c>
      <c r="S120" s="279" t="s">
        <v>78</v>
      </c>
      <c r="T120" s="279" t="s">
        <v>79</v>
      </c>
      <c r="U120" s="279" t="s">
        <v>80</v>
      </c>
      <c r="V120" s="279" t="s">
        <v>552</v>
      </c>
      <c r="W120" s="279" t="s">
        <v>155</v>
      </c>
    </row>
    <row r="121" spans="2:30" x14ac:dyDescent="0.2">
      <c r="E121" s="618" t="s">
        <v>178</v>
      </c>
      <c r="F121" s="654"/>
      <c r="G121" s="654"/>
      <c r="H121" s="655"/>
      <c r="I121" s="314"/>
      <c r="J121" s="314">
        <f>JAN!$AL$29</f>
        <v>0</v>
      </c>
      <c r="K121" s="314">
        <f>FEB!$AL$29</f>
        <v>0</v>
      </c>
      <c r="L121" s="314">
        <f>MRZ!$AL$29</f>
        <v>0</v>
      </c>
      <c r="M121" s="314">
        <f>APR!$AL$29</f>
        <v>0</v>
      </c>
      <c r="N121" s="314">
        <f>MAI!$AL$29</f>
        <v>0</v>
      </c>
      <c r="O121" s="314">
        <f>JUN!$AL$29</f>
        <v>0</v>
      </c>
      <c r="P121" s="314">
        <f>JUL!$AL$29</f>
        <v>0</v>
      </c>
      <c r="Q121" s="314">
        <f>AUG!$AL$29</f>
        <v>0</v>
      </c>
      <c r="R121" s="314">
        <f>SEP!$AL$29</f>
        <v>0</v>
      </c>
      <c r="S121" s="314">
        <f>OKT!$AL$29</f>
        <v>0</v>
      </c>
      <c r="T121" s="314">
        <f>NOV!$AL$29</f>
        <v>0</v>
      </c>
      <c r="U121" s="314">
        <f>DEZ!$AL$29</f>
        <v>0</v>
      </c>
      <c r="V121" s="315">
        <f>SUM(J121:U121)</f>
        <v>0</v>
      </c>
      <c r="W121" s="314"/>
    </row>
    <row r="122" spans="2:30" x14ac:dyDescent="0.2">
      <c r="E122" s="618" t="s">
        <v>179</v>
      </c>
      <c r="F122" s="654"/>
      <c r="G122" s="654"/>
      <c r="H122" s="655"/>
      <c r="I122" s="314"/>
      <c r="J122" s="314">
        <f>JAN!$AL$30</f>
        <v>0</v>
      </c>
      <c r="K122" s="314">
        <f>FEB!$AL$30</f>
        <v>0</v>
      </c>
      <c r="L122" s="314">
        <f>MRZ!$AL$30</f>
        <v>0</v>
      </c>
      <c r="M122" s="314">
        <f>APR!$AL$30</f>
        <v>0</v>
      </c>
      <c r="N122" s="314">
        <f>MAI!$AL$30</f>
        <v>0</v>
      </c>
      <c r="O122" s="314">
        <f>JUN!$AL$30</f>
        <v>0</v>
      </c>
      <c r="P122" s="314">
        <f>JUL!$AL$30</f>
        <v>0</v>
      </c>
      <c r="Q122" s="314">
        <f>AUG!$AL$30</f>
        <v>0</v>
      </c>
      <c r="R122" s="314">
        <f>SEP!$AL$30</f>
        <v>0</v>
      </c>
      <c r="S122" s="314">
        <f>OKT!$AL$30</f>
        <v>0</v>
      </c>
      <c r="T122" s="314">
        <f>NOV!$AL$30</f>
        <v>0</v>
      </c>
      <c r="U122" s="314">
        <f>DEZ!$AL$30</f>
        <v>0</v>
      </c>
      <c r="V122" s="315">
        <f t="shared" ref="V122:V127" si="6">SUM(J122:U122)</f>
        <v>0</v>
      </c>
      <c r="W122" s="314"/>
    </row>
    <row r="123" spans="2:30" x14ac:dyDescent="0.2">
      <c r="E123" s="615" t="s">
        <v>180</v>
      </c>
      <c r="F123" s="621"/>
      <c r="G123" s="621"/>
      <c r="H123" s="622"/>
      <c r="I123" s="314"/>
      <c r="J123" s="314" t="str">
        <f t="shared" ref="J123:U123" si="7">$J$51</f>
        <v>h</v>
      </c>
      <c r="K123" s="314" t="str">
        <f t="shared" si="7"/>
        <v>h</v>
      </c>
      <c r="L123" s="314" t="str">
        <f t="shared" si="7"/>
        <v>h</v>
      </c>
      <c r="M123" s="314" t="str">
        <f t="shared" si="7"/>
        <v>h</v>
      </c>
      <c r="N123" s="314" t="str">
        <f t="shared" si="7"/>
        <v>h</v>
      </c>
      <c r="O123" s="314" t="str">
        <f t="shared" si="7"/>
        <v>h</v>
      </c>
      <c r="P123" s="314" t="str">
        <f t="shared" si="7"/>
        <v>h</v>
      </c>
      <c r="Q123" s="314" t="str">
        <f t="shared" si="7"/>
        <v>h</v>
      </c>
      <c r="R123" s="314" t="str">
        <f t="shared" si="7"/>
        <v>h</v>
      </c>
      <c r="S123" s="314" t="str">
        <f t="shared" si="7"/>
        <v>h</v>
      </c>
      <c r="T123" s="314" t="str">
        <f t="shared" si="7"/>
        <v>h</v>
      </c>
      <c r="U123" s="314" t="str">
        <f t="shared" si="7"/>
        <v>h</v>
      </c>
      <c r="V123" s="315">
        <f t="shared" si="6"/>
        <v>0</v>
      </c>
      <c r="W123" s="314"/>
    </row>
    <row r="124" spans="2:30" x14ac:dyDescent="0.2">
      <c r="E124" s="618" t="s">
        <v>181</v>
      </c>
      <c r="F124" s="654"/>
      <c r="G124" s="654"/>
      <c r="H124" s="655"/>
      <c r="I124" s="314"/>
      <c r="J124" s="314">
        <f>JAN!$AL$31</f>
        <v>0</v>
      </c>
      <c r="K124" s="314">
        <f>FEB!$AL$31</f>
        <v>0</v>
      </c>
      <c r="L124" s="314">
        <f>MRZ!$AL$31</f>
        <v>0</v>
      </c>
      <c r="M124" s="314">
        <f>APR!$AL$31</f>
        <v>0</v>
      </c>
      <c r="N124" s="314">
        <f>MAI!$AL$31</f>
        <v>0</v>
      </c>
      <c r="O124" s="314">
        <f>JUN!$AL$31</f>
        <v>0</v>
      </c>
      <c r="P124" s="314">
        <f>JUL!$AL$31</f>
        <v>0</v>
      </c>
      <c r="Q124" s="314">
        <f>AUG!$AL$31</f>
        <v>0</v>
      </c>
      <c r="R124" s="314">
        <f>SEP!$AL$31</f>
        <v>0</v>
      </c>
      <c r="S124" s="314">
        <f>OKT!$AL$31</f>
        <v>0</v>
      </c>
      <c r="T124" s="314">
        <f>NOV!$AL$31</f>
        <v>0</v>
      </c>
      <c r="U124" s="314">
        <f>DEZ!$AL$31</f>
        <v>0</v>
      </c>
      <c r="V124" s="315">
        <f t="shared" si="6"/>
        <v>0</v>
      </c>
      <c r="W124" s="314"/>
    </row>
    <row r="125" spans="2:30" x14ac:dyDescent="0.2">
      <c r="E125" s="618" t="s">
        <v>182</v>
      </c>
      <c r="F125" s="654"/>
      <c r="G125" s="654"/>
      <c r="H125" s="655"/>
      <c r="I125" s="314"/>
      <c r="J125" s="314">
        <f>JAN!$AL$32</f>
        <v>0</v>
      </c>
      <c r="K125" s="314">
        <f>FEB!$AL$32</f>
        <v>0</v>
      </c>
      <c r="L125" s="314">
        <f>MRZ!$AL$32</f>
        <v>0</v>
      </c>
      <c r="M125" s="314">
        <f>APR!$AL$32</f>
        <v>0</v>
      </c>
      <c r="N125" s="314">
        <f>MAI!$AL$32</f>
        <v>0</v>
      </c>
      <c r="O125" s="314">
        <f>JUN!$AL$32</f>
        <v>0</v>
      </c>
      <c r="P125" s="314">
        <f>JUL!$AL$32</f>
        <v>0</v>
      </c>
      <c r="Q125" s="314">
        <f>AUG!$AL$32</f>
        <v>0</v>
      </c>
      <c r="R125" s="314">
        <f>SEP!$AL$32</f>
        <v>0</v>
      </c>
      <c r="S125" s="314">
        <f>OKT!$AL$32</f>
        <v>0</v>
      </c>
      <c r="T125" s="314">
        <f>NOV!$AL$32</f>
        <v>0</v>
      </c>
      <c r="U125" s="314">
        <f>DEZ!$AL$32</f>
        <v>0</v>
      </c>
      <c r="V125" s="315">
        <f t="shared" si="6"/>
        <v>0</v>
      </c>
      <c r="W125" s="314"/>
    </row>
    <row r="126" spans="2:30" x14ac:dyDescent="0.2">
      <c r="E126" s="623" t="s">
        <v>183</v>
      </c>
      <c r="F126" s="624"/>
      <c r="G126" s="624"/>
      <c r="H126" s="625"/>
      <c r="I126" s="314">
        <f>SUM(I122,I124,I125)</f>
        <v>0</v>
      </c>
      <c r="J126" s="314">
        <f t="shared" ref="J126" si="8">SUM(J122,J124,J125)</f>
        <v>0</v>
      </c>
      <c r="K126" s="314">
        <f t="shared" ref="K126" si="9">SUM(K122,K124,K125)</f>
        <v>0</v>
      </c>
      <c r="L126" s="314">
        <f t="shared" ref="L126" si="10">SUM(L122,L124,L125)</f>
        <v>0</v>
      </c>
      <c r="M126" s="314">
        <f t="shared" ref="M126" si="11">SUM(M122,M124,M125)</f>
        <v>0</v>
      </c>
      <c r="N126" s="314">
        <f t="shared" ref="N126" si="12">SUM(N122,N124,N125)</f>
        <v>0</v>
      </c>
      <c r="O126" s="314">
        <f t="shared" ref="O126" si="13">SUM(O122,O124,O125)</f>
        <v>0</v>
      </c>
      <c r="P126" s="314">
        <f t="shared" ref="P126" si="14">SUM(P122,P124,P125)</f>
        <v>0</v>
      </c>
      <c r="Q126" s="314">
        <f t="shared" ref="Q126" si="15">SUM(Q122,Q124,Q125)</f>
        <v>0</v>
      </c>
      <c r="R126" s="314">
        <f t="shared" ref="R126" si="16">SUM(R122,R124,R125)</f>
        <v>0</v>
      </c>
      <c r="S126" s="314">
        <f t="shared" ref="S126" si="17">SUM(S122,S124,S125)</f>
        <v>0</v>
      </c>
      <c r="T126" s="314">
        <f t="shared" ref="T126" si="18">SUM(T122,T124,T125)</f>
        <v>0</v>
      </c>
      <c r="U126" s="314">
        <f t="shared" ref="U126" si="19">SUM(U122,U124,U125)</f>
        <v>0</v>
      </c>
      <c r="V126" s="315">
        <f t="shared" si="6"/>
        <v>0</v>
      </c>
      <c r="W126" s="314"/>
    </row>
    <row r="127" spans="2:30" x14ac:dyDescent="0.2">
      <c r="E127" s="666"/>
      <c r="F127" s="667"/>
      <c r="G127" s="667"/>
      <c r="H127" s="668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314"/>
      <c r="U127" s="314"/>
      <c r="V127" s="315">
        <f t="shared" si="6"/>
        <v>0</v>
      </c>
      <c r="W127" s="314"/>
    </row>
    <row r="132" spans="2:30" ht="15.6" customHeight="1" x14ac:dyDescent="0.2">
      <c r="B132" s="603" t="s">
        <v>362</v>
      </c>
      <c r="C132" s="603"/>
      <c r="D132" s="603"/>
      <c r="E132" s="603"/>
      <c r="F132" s="603"/>
      <c r="G132" s="603"/>
      <c r="H132" s="603"/>
      <c r="I132" s="603"/>
      <c r="J132" s="603"/>
      <c r="K132" s="603"/>
      <c r="L132" s="603"/>
      <c r="M132" s="603"/>
      <c r="N132" s="603"/>
      <c r="O132" s="603"/>
      <c r="P132" s="603"/>
      <c r="Q132" s="603"/>
      <c r="R132" s="603"/>
      <c r="S132" s="603"/>
      <c r="T132" s="603"/>
      <c r="U132" s="603"/>
    </row>
    <row r="133" spans="2:30" x14ac:dyDescent="0.2">
      <c r="B133" s="565"/>
    </row>
    <row r="134" spans="2:30" s="189" customFormat="1" ht="18.95" customHeight="1" x14ac:dyDescent="0.2">
      <c r="B134" s="566"/>
      <c r="E134" s="321" t="s">
        <v>184</v>
      </c>
      <c r="X134" s="129"/>
      <c r="Y134" s="129"/>
    </row>
    <row r="135" spans="2:30" x14ac:dyDescent="0.2">
      <c r="B135" s="565"/>
      <c r="E135" s="631"/>
      <c r="F135" s="632"/>
      <c r="G135" s="632"/>
      <c r="H135" s="633"/>
      <c r="I135" s="278"/>
      <c r="J135" s="278">
        <v>1</v>
      </c>
      <c r="K135" s="278">
        <v>2</v>
      </c>
      <c r="L135" s="278">
        <v>3</v>
      </c>
      <c r="M135" s="278">
        <v>4</v>
      </c>
      <c r="N135" s="278">
        <v>5</v>
      </c>
      <c r="O135" s="278">
        <v>6</v>
      </c>
      <c r="P135" s="278">
        <v>7</v>
      </c>
      <c r="Q135" s="278">
        <v>8</v>
      </c>
      <c r="R135" s="278">
        <v>9</v>
      </c>
      <c r="S135" s="278">
        <v>10</v>
      </c>
      <c r="T135" s="278">
        <v>11</v>
      </c>
      <c r="U135" s="278">
        <v>12</v>
      </c>
      <c r="V135" s="278"/>
      <c r="W135" s="278"/>
      <c r="X135" s="453"/>
      <c r="Y135" s="453"/>
      <c r="Z135" s="454"/>
      <c r="AA135" s="454" t="s">
        <v>512</v>
      </c>
      <c r="AB135" s="495"/>
      <c r="AD135" s="452" t="s">
        <v>115</v>
      </c>
    </row>
    <row r="136" spans="2:30" x14ac:dyDescent="0.2">
      <c r="B136" s="565"/>
      <c r="E136" s="634"/>
      <c r="F136" s="635"/>
      <c r="G136" s="635"/>
      <c r="H136" s="636"/>
      <c r="I136" s="279" t="s">
        <v>153</v>
      </c>
      <c r="J136" s="279" t="s">
        <v>69</v>
      </c>
      <c r="K136" s="279" t="s">
        <v>70</v>
      </c>
      <c r="L136" s="279" t="s">
        <v>71</v>
      </c>
      <c r="M136" s="279" t="s">
        <v>72</v>
      </c>
      <c r="N136" s="279" t="s">
        <v>73</v>
      </c>
      <c r="O136" s="279" t="s">
        <v>74</v>
      </c>
      <c r="P136" s="279" t="s">
        <v>75</v>
      </c>
      <c r="Q136" s="279" t="s">
        <v>76</v>
      </c>
      <c r="R136" s="279" t="s">
        <v>77</v>
      </c>
      <c r="S136" s="279" t="s">
        <v>78</v>
      </c>
      <c r="T136" s="279" t="s">
        <v>79</v>
      </c>
      <c r="U136" s="279" t="s">
        <v>80</v>
      </c>
      <c r="V136" s="279" t="s">
        <v>552</v>
      </c>
      <c r="W136" s="279" t="s">
        <v>155</v>
      </c>
    </row>
    <row r="137" spans="2:30" x14ac:dyDescent="0.2">
      <c r="B137" s="565"/>
      <c r="E137" s="656" t="s">
        <v>165</v>
      </c>
      <c r="F137" s="659"/>
      <c r="G137" s="659"/>
      <c r="H137" s="660"/>
      <c r="I137" s="314"/>
      <c r="J137" s="314"/>
      <c r="K137" s="314"/>
      <c r="L137" s="314"/>
      <c r="M137" s="314"/>
      <c r="N137" s="314"/>
      <c r="O137" s="314"/>
      <c r="P137" s="314"/>
      <c r="Q137" s="314"/>
      <c r="R137" s="314"/>
      <c r="S137" s="314"/>
      <c r="T137" s="314"/>
      <c r="U137" s="314"/>
      <c r="V137" s="315">
        <f>SUM(J137:U137)</f>
        <v>0</v>
      </c>
      <c r="W137" s="314"/>
      <c r="X137" s="323" t="s">
        <v>185</v>
      </c>
      <c r="Y137" s="323"/>
      <c r="Z137" s="12"/>
    </row>
    <row r="138" spans="2:30" x14ac:dyDescent="0.2">
      <c r="B138" s="565"/>
      <c r="E138" s="656" t="s">
        <v>166</v>
      </c>
      <c r="F138" s="659"/>
      <c r="G138" s="659"/>
      <c r="H138" s="660"/>
      <c r="I138" s="314"/>
      <c r="J138" s="314"/>
      <c r="K138" s="314"/>
      <c r="L138" s="314"/>
      <c r="M138" s="314"/>
      <c r="N138" s="314"/>
      <c r="O138" s="314"/>
      <c r="P138" s="314"/>
      <c r="Q138" s="314"/>
      <c r="R138" s="314"/>
      <c r="S138" s="314"/>
      <c r="T138" s="314"/>
      <c r="U138" s="314"/>
      <c r="V138" s="315">
        <f>SUM(J138:U138)</f>
        <v>0</v>
      </c>
      <c r="W138" s="314"/>
      <c r="X138" s="323" t="s">
        <v>186</v>
      </c>
      <c r="Y138" s="323"/>
      <c r="Z138" s="12" t="s">
        <v>187</v>
      </c>
    </row>
    <row r="139" spans="2:30" x14ac:dyDescent="0.2">
      <c r="B139" s="565"/>
      <c r="E139" s="656" t="s">
        <v>188</v>
      </c>
      <c r="F139" s="659"/>
      <c r="G139" s="659"/>
      <c r="H139" s="660"/>
      <c r="I139" s="314"/>
      <c r="J139" s="314"/>
      <c r="K139" s="314"/>
      <c r="L139" s="314"/>
      <c r="M139" s="314"/>
      <c r="N139" s="314"/>
      <c r="O139" s="314"/>
      <c r="P139" s="314"/>
      <c r="Q139" s="314"/>
      <c r="R139" s="314"/>
      <c r="S139" s="314"/>
      <c r="T139" s="314"/>
      <c r="U139" s="314"/>
      <c r="V139" s="315"/>
      <c r="W139" s="314"/>
      <c r="X139" s="323" t="s">
        <v>189</v>
      </c>
      <c r="Y139" s="323"/>
      <c r="Z139" s="12" t="s">
        <v>190</v>
      </c>
    </row>
    <row r="140" spans="2:30" x14ac:dyDescent="0.2">
      <c r="B140" s="565"/>
      <c r="E140" s="656" t="s">
        <v>191</v>
      </c>
      <c r="F140" s="659"/>
      <c r="G140" s="659"/>
      <c r="H140" s="660"/>
      <c r="I140" s="314"/>
      <c r="J140" s="314"/>
      <c r="K140" s="314"/>
      <c r="L140" s="314"/>
      <c r="M140" s="314"/>
      <c r="N140" s="314"/>
      <c r="O140" s="314"/>
      <c r="P140" s="314"/>
      <c r="Q140" s="314"/>
      <c r="R140" s="314"/>
      <c r="S140" s="314"/>
      <c r="T140" s="314"/>
      <c r="U140" s="314"/>
      <c r="V140" s="315"/>
      <c r="W140" s="314"/>
      <c r="X140" s="323" t="s">
        <v>192</v>
      </c>
      <c r="Y140" s="323"/>
      <c r="Z140" s="12" t="s">
        <v>193</v>
      </c>
    </row>
    <row r="141" spans="2:30" x14ac:dyDescent="0.2">
      <c r="B141" s="565"/>
      <c r="E141" s="656" t="s">
        <v>194</v>
      </c>
      <c r="F141" s="659"/>
      <c r="G141" s="659"/>
      <c r="H141" s="660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5"/>
      <c r="W141" s="314"/>
      <c r="X141" s="323" t="s">
        <v>195</v>
      </c>
      <c r="Y141" s="323"/>
      <c r="Z141" s="12" t="s">
        <v>196</v>
      </c>
    </row>
    <row r="142" spans="2:30" x14ac:dyDescent="0.2">
      <c r="B142" s="565"/>
      <c r="E142" s="656" t="s">
        <v>197</v>
      </c>
      <c r="F142" s="667"/>
      <c r="G142" s="667"/>
      <c r="H142" s="668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5"/>
      <c r="W142" s="314"/>
      <c r="X142" s="323" t="s">
        <v>198</v>
      </c>
      <c r="Y142" s="323"/>
      <c r="Z142" s="12" t="s">
        <v>199</v>
      </c>
    </row>
    <row r="143" spans="2:30" x14ac:dyDescent="0.2">
      <c r="B143" s="565"/>
      <c r="E143" s="656" t="s">
        <v>200</v>
      </c>
      <c r="F143" s="667"/>
      <c r="G143" s="667"/>
      <c r="H143" s="668"/>
      <c r="I143" s="314"/>
      <c r="J143" s="314"/>
      <c r="K143" s="314"/>
      <c r="L143" s="314"/>
      <c r="M143" s="314"/>
      <c r="N143" s="314"/>
      <c r="O143" s="314"/>
      <c r="P143" s="314"/>
      <c r="Q143" s="314"/>
      <c r="R143" s="314"/>
      <c r="S143" s="314"/>
      <c r="T143" s="314"/>
      <c r="U143" s="314"/>
      <c r="V143" s="315"/>
      <c r="W143" s="314"/>
      <c r="X143" s="323" t="s">
        <v>201</v>
      </c>
      <c r="Y143" s="323"/>
      <c r="Z143" s="12" t="s">
        <v>202</v>
      </c>
    </row>
    <row r="144" spans="2:30" x14ac:dyDescent="0.2">
      <c r="B144" s="565"/>
      <c r="E144" s="656" t="s">
        <v>203</v>
      </c>
      <c r="F144" s="667"/>
      <c r="G144" s="667"/>
      <c r="H144" s="668"/>
      <c r="I144" s="314"/>
      <c r="J144" s="314"/>
      <c r="K144" s="314"/>
      <c r="L144" s="314"/>
      <c r="M144" s="314"/>
      <c r="N144" s="314"/>
      <c r="O144" s="314"/>
      <c r="P144" s="314"/>
      <c r="Q144" s="314"/>
      <c r="R144" s="314"/>
      <c r="S144" s="314"/>
      <c r="T144" s="314"/>
      <c r="U144" s="314"/>
      <c r="V144" s="315"/>
      <c r="W144" s="314"/>
      <c r="X144" s="323" t="s">
        <v>204</v>
      </c>
      <c r="Y144" s="323"/>
    </row>
    <row r="145" spans="2:30" x14ac:dyDescent="0.2">
      <c r="B145" s="565"/>
      <c r="E145" s="656" t="s">
        <v>205</v>
      </c>
      <c r="F145" s="667"/>
      <c r="G145" s="667"/>
      <c r="H145" s="668"/>
      <c r="I145" s="314"/>
      <c r="J145" s="314"/>
      <c r="K145" s="314"/>
      <c r="L145" s="314"/>
      <c r="M145" s="314"/>
      <c r="N145" s="314"/>
      <c r="O145" s="314"/>
      <c r="P145" s="314"/>
      <c r="Q145" s="314"/>
      <c r="R145" s="314"/>
      <c r="S145" s="314"/>
      <c r="T145" s="314"/>
      <c r="U145" s="314"/>
      <c r="V145" s="315"/>
      <c r="W145" s="314"/>
      <c r="X145" s="323" t="s">
        <v>206</v>
      </c>
      <c r="Y145" s="323"/>
    </row>
    <row r="146" spans="2:30" x14ac:dyDescent="0.2">
      <c r="B146" s="565"/>
      <c r="E146" s="656" t="s">
        <v>207</v>
      </c>
      <c r="F146" s="667"/>
      <c r="G146" s="667"/>
      <c r="H146" s="668"/>
      <c r="I146" s="314"/>
      <c r="J146" s="314"/>
      <c r="K146" s="314"/>
      <c r="L146" s="314"/>
      <c r="M146" s="314"/>
      <c r="N146" s="314"/>
      <c r="O146" s="314"/>
      <c r="P146" s="314"/>
      <c r="Q146" s="314"/>
      <c r="R146" s="314"/>
      <c r="S146" s="314"/>
      <c r="T146" s="314"/>
      <c r="U146" s="314"/>
      <c r="V146" s="315"/>
      <c r="W146" s="314"/>
      <c r="X146" s="323" t="s">
        <v>208</v>
      </c>
      <c r="Y146" s="323"/>
    </row>
    <row r="147" spans="2:30" x14ac:dyDescent="0.2">
      <c r="B147" s="565"/>
      <c r="E147" s="656"/>
      <c r="F147" s="657"/>
      <c r="G147" s="657"/>
      <c r="H147" s="658"/>
      <c r="I147" s="314"/>
      <c r="J147" s="314"/>
      <c r="K147" s="314"/>
      <c r="L147" s="314"/>
      <c r="M147" s="314"/>
      <c r="N147" s="314"/>
      <c r="O147" s="314"/>
      <c r="P147" s="314"/>
      <c r="Q147" s="314"/>
      <c r="R147" s="314"/>
      <c r="S147" s="314"/>
      <c r="T147" s="314"/>
      <c r="U147" s="314"/>
      <c r="V147" s="315"/>
      <c r="W147" s="314"/>
    </row>
    <row r="148" spans="2:30" x14ac:dyDescent="0.2">
      <c r="B148" s="565"/>
      <c r="E148" s="656"/>
      <c r="F148" s="657"/>
      <c r="G148" s="657"/>
      <c r="H148" s="658"/>
      <c r="I148" s="314"/>
      <c r="J148" s="314"/>
      <c r="K148" s="314"/>
      <c r="L148" s="314"/>
      <c r="M148" s="314"/>
      <c r="N148" s="314"/>
      <c r="O148" s="314"/>
      <c r="P148" s="314"/>
      <c r="Q148" s="314"/>
      <c r="R148" s="314"/>
      <c r="S148" s="314"/>
      <c r="T148" s="314"/>
      <c r="U148" s="314"/>
      <c r="V148" s="315"/>
      <c r="W148" s="314"/>
    </row>
    <row r="149" spans="2:30" x14ac:dyDescent="0.2">
      <c r="B149" s="565"/>
      <c r="E149" s="656"/>
      <c r="F149" s="657"/>
      <c r="G149" s="657"/>
      <c r="H149" s="658"/>
      <c r="I149" s="314"/>
      <c r="J149" s="314"/>
      <c r="K149" s="314"/>
      <c r="L149" s="314"/>
      <c r="M149" s="314"/>
      <c r="N149" s="314"/>
      <c r="O149" s="314"/>
      <c r="P149" s="314"/>
      <c r="Q149" s="314"/>
      <c r="R149" s="314"/>
      <c r="S149" s="314"/>
      <c r="T149" s="314"/>
      <c r="U149" s="314"/>
      <c r="V149" s="315"/>
      <c r="W149" s="314"/>
    </row>
    <row r="150" spans="2:30" x14ac:dyDescent="0.2">
      <c r="B150" s="565"/>
      <c r="E150" s="656"/>
      <c r="F150" s="657"/>
      <c r="G150" s="657"/>
      <c r="H150" s="658"/>
      <c r="I150" s="314"/>
      <c r="J150" s="314"/>
      <c r="K150" s="314"/>
      <c r="L150" s="314"/>
      <c r="M150" s="314"/>
      <c r="N150" s="314"/>
      <c r="O150" s="314"/>
      <c r="P150" s="314"/>
      <c r="Q150" s="314"/>
      <c r="R150" s="314"/>
      <c r="S150" s="314"/>
      <c r="T150" s="314"/>
      <c r="U150" s="314"/>
      <c r="V150" s="315"/>
      <c r="W150" s="314"/>
    </row>
    <row r="151" spans="2:30" x14ac:dyDescent="0.2">
      <c r="B151" s="565"/>
      <c r="E151" s="656"/>
      <c r="F151" s="657"/>
      <c r="G151" s="657"/>
      <c r="H151" s="658"/>
      <c r="I151" s="314"/>
      <c r="J151" s="314"/>
      <c r="K151" s="314"/>
      <c r="L151" s="314"/>
      <c r="M151" s="314"/>
      <c r="N151" s="314"/>
      <c r="O151" s="314"/>
      <c r="P151" s="314"/>
      <c r="Q151" s="314"/>
      <c r="R151" s="314"/>
      <c r="S151" s="314"/>
      <c r="T151" s="314"/>
      <c r="U151" s="314"/>
      <c r="V151" s="315"/>
      <c r="W151" s="314"/>
    </row>
    <row r="152" spans="2:30" x14ac:dyDescent="0.2">
      <c r="E152" s="312"/>
    </row>
    <row r="154" spans="2:30" x14ac:dyDescent="0.2">
      <c r="E154" s="312"/>
    </row>
    <row r="155" spans="2:30" x14ac:dyDescent="0.2">
      <c r="E155" s="312"/>
    </row>
    <row r="157" spans="2:30" s="189" customFormat="1" ht="18.95" customHeight="1" x14ac:dyDescent="0.2">
      <c r="E157" s="321" t="s">
        <v>209</v>
      </c>
    </row>
    <row r="158" spans="2:30" x14ac:dyDescent="0.2">
      <c r="E158" s="631"/>
      <c r="F158" s="632"/>
      <c r="G158" s="632"/>
      <c r="H158" s="633"/>
      <c r="I158" s="278"/>
      <c r="J158" s="278">
        <v>1</v>
      </c>
      <c r="K158" s="278">
        <v>2</v>
      </c>
      <c r="L158" s="278">
        <v>3</v>
      </c>
      <c r="M158" s="278">
        <v>4</v>
      </c>
      <c r="N158" s="278">
        <v>5</v>
      </c>
      <c r="O158" s="278">
        <v>6</v>
      </c>
      <c r="P158" s="278">
        <v>7</v>
      </c>
      <c r="Q158" s="278">
        <v>8</v>
      </c>
      <c r="R158" s="278">
        <v>9</v>
      </c>
      <c r="S158" s="278">
        <v>10</v>
      </c>
      <c r="T158" s="278">
        <v>11</v>
      </c>
      <c r="U158" s="278">
        <v>12</v>
      </c>
      <c r="V158" s="278"/>
      <c r="W158" s="278"/>
      <c r="X158" s="453"/>
      <c r="Y158" s="453"/>
      <c r="Z158" s="454"/>
      <c r="AA158" s="454" t="s">
        <v>512</v>
      </c>
      <c r="AB158" s="495"/>
      <c r="AD158" s="452" t="s">
        <v>115</v>
      </c>
    </row>
    <row r="159" spans="2:30" x14ac:dyDescent="0.2">
      <c r="E159" s="634"/>
      <c r="F159" s="635"/>
      <c r="G159" s="635"/>
      <c r="H159" s="636"/>
      <c r="I159" s="279" t="s">
        <v>153</v>
      </c>
      <c r="J159" s="279" t="s">
        <v>69</v>
      </c>
      <c r="K159" s="279" t="s">
        <v>70</v>
      </c>
      <c r="L159" s="279" t="s">
        <v>71</v>
      </c>
      <c r="M159" s="279" t="s">
        <v>72</v>
      </c>
      <c r="N159" s="279" t="s">
        <v>73</v>
      </c>
      <c r="O159" s="279" t="s">
        <v>74</v>
      </c>
      <c r="P159" s="279" t="s">
        <v>75</v>
      </c>
      <c r="Q159" s="279" t="s">
        <v>76</v>
      </c>
      <c r="R159" s="279" t="s">
        <v>77</v>
      </c>
      <c r="S159" s="279" t="s">
        <v>78</v>
      </c>
      <c r="T159" s="279" t="s">
        <v>79</v>
      </c>
      <c r="U159" s="279" t="s">
        <v>80</v>
      </c>
      <c r="V159" s="279" t="s">
        <v>552</v>
      </c>
      <c r="W159" s="279" t="s">
        <v>155</v>
      </c>
    </row>
    <row r="160" spans="2:30" x14ac:dyDescent="0.2">
      <c r="E160" s="623" t="s">
        <v>210</v>
      </c>
      <c r="F160" s="624"/>
      <c r="G160" s="624"/>
      <c r="H160" s="625"/>
      <c r="I160" s="314">
        <f>IF(B_fldSaldoVJ&gt;0,B_fldSaldoVJ,0)</f>
        <v>0</v>
      </c>
      <c r="J160" s="314"/>
      <c r="K160" s="314"/>
      <c r="L160" s="314"/>
      <c r="M160" s="314"/>
      <c r="N160" s="314"/>
      <c r="O160" s="314"/>
      <c r="P160" s="314"/>
      <c r="Q160" s="314"/>
      <c r="R160" s="314"/>
      <c r="S160" s="314"/>
      <c r="T160" s="314"/>
      <c r="U160" s="314"/>
      <c r="V160" s="315">
        <f>SUM(J160:U160)</f>
        <v>0</v>
      </c>
      <c r="W160" s="314"/>
    </row>
    <row r="161" spans="5:30" x14ac:dyDescent="0.2">
      <c r="E161" s="618" t="s">
        <v>211</v>
      </c>
      <c r="F161" s="654"/>
      <c r="G161" s="654"/>
      <c r="H161" s="655"/>
      <c r="I161" s="314"/>
      <c r="J161" s="314">
        <f>JAN!$AL$35</f>
        <v>0</v>
      </c>
      <c r="K161" s="314">
        <f>FEB!$AL$35</f>
        <v>0</v>
      </c>
      <c r="L161" s="314">
        <f>MRZ!$AL$35</f>
        <v>0</v>
      </c>
      <c r="M161" s="314">
        <f>APR!$AL$35</f>
        <v>0</v>
      </c>
      <c r="N161" s="314">
        <f>MAI!$AL$35</f>
        <v>0</v>
      </c>
      <c r="O161" s="314">
        <f>JUN!$AL$35</f>
        <v>0</v>
      </c>
      <c r="P161" s="314">
        <f>JUL!$AL$35</f>
        <v>0</v>
      </c>
      <c r="Q161" s="314">
        <f>AUG!$AL$35</f>
        <v>0</v>
      </c>
      <c r="R161" s="314">
        <f>SEP!$AL$35</f>
        <v>0</v>
      </c>
      <c r="S161" s="314">
        <f>OKT!$AL$35</f>
        <v>0</v>
      </c>
      <c r="T161" s="314">
        <f>NOV!$AL$35</f>
        <v>0</v>
      </c>
      <c r="U161" s="314">
        <f>DEZ!$AL$35</f>
        <v>0</v>
      </c>
      <c r="V161" s="315">
        <f t="shared" ref="V161" si="20">SUM(J161:U161)</f>
        <v>0</v>
      </c>
      <c r="W161" s="314"/>
    </row>
    <row r="162" spans="5:30" x14ac:dyDescent="0.2">
      <c r="E162" s="618" t="s">
        <v>212</v>
      </c>
      <c r="F162" s="654"/>
      <c r="G162" s="654"/>
      <c r="H162" s="655"/>
      <c r="I162" s="314"/>
      <c r="J162" s="314">
        <f>JAN!$K$53</f>
        <v>0</v>
      </c>
      <c r="K162" s="314">
        <f>FEB!$K$53</f>
        <v>0</v>
      </c>
      <c r="L162" s="314">
        <f>MRZ!$K$53</f>
        <v>0</v>
      </c>
      <c r="M162" s="314">
        <f>APR!$K$53</f>
        <v>0</v>
      </c>
      <c r="N162" s="314">
        <f>MAI!$K$53</f>
        <v>0</v>
      </c>
      <c r="O162" s="314">
        <f>JUN!$K$53</f>
        <v>0</v>
      </c>
      <c r="P162" s="314">
        <f>JUL!$K$53</f>
        <v>0</v>
      </c>
      <c r="Q162" s="314">
        <f>AUG!$K$53</f>
        <v>0</v>
      </c>
      <c r="R162" s="314">
        <f>SEP!$K$53</f>
        <v>0</v>
      </c>
      <c r="S162" s="314">
        <f>OKT!$K$53</f>
        <v>0</v>
      </c>
      <c r="T162" s="314">
        <f>NOV!$K$53</f>
        <v>0</v>
      </c>
      <c r="U162" s="314">
        <f>DEZ!$K$53</f>
        <v>0</v>
      </c>
      <c r="V162" s="315">
        <f>SUM(J162:U162)</f>
        <v>0</v>
      </c>
      <c r="W162" s="314"/>
    </row>
    <row r="163" spans="5:30" x14ac:dyDescent="0.2">
      <c r="E163" s="618" t="s">
        <v>213</v>
      </c>
      <c r="F163" s="654"/>
      <c r="G163" s="654"/>
      <c r="H163" s="655"/>
      <c r="I163" s="314"/>
      <c r="J163" s="314">
        <f>JAN!$AL$36</f>
        <v>0</v>
      </c>
      <c r="K163" s="314">
        <f>FEB!$AL$36</f>
        <v>0</v>
      </c>
      <c r="L163" s="314">
        <f>MRZ!$AL$36</f>
        <v>0</v>
      </c>
      <c r="M163" s="314">
        <f>APR!$AL$36</f>
        <v>0</v>
      </c>
      <c r="N163" s="314">
        <f>MAI!$AL$36</f>
        <v>0</v>
      </c>
      <c r="O163" s="314">
        <f>JUN!$AL$36</f>
        <v>0</v>
      </c>
      <c r="P163" s="314">
        <f>JUL!$AL$36</f>
        <v>0</v>
      </c>
      <c r="Q163" s="314">
        <f>AUG!$AL$36</f>
        <v>0</v>
      </c>
      <c r="R163" s="314">
        <f>SEP!$AL$36</f>
        <v>0</v>
      </c>
      <c r="S163" s="314">
        <f>OKT!$AL$36</f>
        <v>0</v>
      </c>
      <c r="T163" s="314">
        <f>NOV!$AL$36</f>
        <v>0</v>
      </c>
      <c r="U163" s="314">
        <f>DEZ!$AL$36</f>
        <v>0</v>
      </c>
      <c r="V163" s="315">
        <f t="shared" ref="V163:V172" si="21">SUM(J163:U163)</f>
        <v>0</v>
      </c>
      <c r="W163" s="314"/>
    </row>
    <row r="164" spans="5:30" x14ac:dyDescent="0.2">
      <c r="E164" s="618" t="s">
        <v>214</v>
      </c>
      <c r="F164" s="654"/>
      <c r="G164" s="654"/>
      <c r="H164" s="655"/>
      <c r="I164" s="314"/>
      <c r="J164" s="314">
        <f>JAN!$W$53</f>
        <v>0</v>
      </c>
      <c r="K164" s="314">
        <f>FEB!$W$53</f>
        <v>0</v>
      </c>
      <c r="L164" s="314">
        <f>MRZ!$W$53</f>
        <v>0</v>
      </c>
      <c r="M164" s="314">
        <f>APR!$W$53</f>
        <v>0</v>
      </c>
      <c r="N164" s="314">
        <f>MAI!$W$53</f>
        <v>0</v>
      </c>
      <c r="O164" s="314">
        <f>JUN!$W$53</f>
        <v>0</v>
      </c>
      <c r="P164" s="314">
        <f>JUL!$W$53</f>
        <v>0</v>
      </c>
      <c r="Q164" s="314">
        <f>AUG!$W$53</f>
        <v>0</v>
      </c>
      <c r="R164" s="314">
        <f>SEP!$W$53</f>
        <v>0</v>
      </c>
      <c r="S164" s="314">
        <f>OKT!$W$53</f>
        <v>0</v>
      </c>
      <c r="T164" s="314">
        <f>NOV!$W$53</f>
        <v>0</v>
      </c>
      <c r="U164" s="314">
        <f>DEZ!$W$53</f>
        <v>0</v>
      </c>
      <c r="V164" s="315">
        <f t="shared" si="21"/>
        <v>0</v>
      </c>
      <c r="W164" s="314"/>
    </row>
    <row r="165" spans="5:30" x14ac:dyDescent="0.2">
      <c r="E165" s="656"/>
      <c r="F165" s="657"/>
      <c r="G165" s="657"/>
      <c r="H165" s="658"/>
      <c r="I165" s="314"/>
      <c r="J165" s="314"/>
      <c r="K165" s="314"/>
      <c r="L165" s="314"/>
      <c r="M165" s="314"/>
      <c r="N165" s="314"/>
      <c r="O165" s="314"/>
      <c r="P165" s="314"/>
      <c r="Q165" s="314"/>
      <c r="R165" s="314"/>
      <c r="S165" s="314"/>
      <c r="T165" s="314"/>
      <c r="U165" s="314"/>
      <c r="V165" s="315">
        <f t="shared" si="21"/>
        <v>0</v>
      </c>
      <c r="W165" s="314"/>
    </row>
    <row r="168" spans="5:30" s="189" customFormat="1" ht="18.95" customHeight="1" x14ac:dyDescent="0.2">
      <c r="E168" s="321" t="s">
        <v>165</v>
      </c>
      <c r="F168" s="321"/>
    </row>
    <row r="169" spans="5:30" x14ac:dyDescent="0.2">
      <c r="E169" s="631"/>
      <c r="F169" s="632"/>
      <c r="G169" s="632"/>
      <c r="H169" s="633"/>
      <c r="I169" s="322"/>
      <c r="J169" s="278">
        <v>1</v>
      </c>
      <c r="K169" s="278">
        <v>2</v>
      </c>
      <c r="L169" s="278">
        <v>3</v>
      </c>
      <c r="M169" s="278">
        <v>4</v>
      </c>
      <c r="N169" s="278">
        <v>5</v>
      </c>
      <c r="O169" s="278">
        <v>6</v>
      </c>
      <c r="P169" s="278">
        <v>7</v>
      </c>
      <c r="Q169" s="278">
        <v>8</v>
      </c>
      <c r="R169" s="278">
        <v>9</v>
      </c>
      <c r="S169" s="278">
        <v>10</v>
      </c>
      <c r="T169" s="278">
        <v>11</v>
      </c>
      <c r="U169" s="278">
        <v>12</v>
      </c>
      <c r="V169" s="278"/>
      <c r="W169" s="322"/>
      <c r="X169" s="453"/>
      <c r="Y169" s="453"/>
      <c r="Z169" s="454"/>
      <c r="AA169" s="454" t="s">
        <v>512</v>
      </c>
      <c r="AB169" s="495"/>
      <c r="AD169" s="452" t="s">
        <v>115</v>
      </c>
    </row>
    <row r="170" spans="5:30" x14ac:dyDescent="0.2">
      <c r="E170" s="634"/>
      <c r="F170" s="635"/>
      <c r="G170" s="635"/>
      <c r="H170" s="636"/>
      <c r="I170" s="279"/>
      <c r="J170" s="279" t="s">
        <v>69</v>
      </c>
      <c r="K170" s="279" t="s">
        <v>70</v>
      </c>
      <c r="L170" s="279" t="s">
        <v>71</v>
      </c>
      <c r="M170" s="279" t="s">
        <v>72</v>
      </c>
      <c r="N170" s="279" t="s">
        <v>73</v>
      </c>
      <c r="O170" s="279" t="s">
        <v>74</v>
      </c>
      <c r="P170" s="279" t="s">
        <v>75</v>
      </c>
      <c r="Q170" s="279" t="s">
        <v>76</v>
      </c>
      <c r="R170" s="279" t="s">
        <v>77</v>
      </c>
      <c r="S170" s="279" t="s">
        <v>78</v>
      </c>
      <c r="T170" s="279" t="s">
        <v>79</v>
      </c>
      <c r="U170" s="279" t="s">
        <v>80</v>
      </c>
      <c r="V170" s="279" t="s">
        <v>552</v>
      </c>
      <c r="W170" s="279"/>
    </row>
    <row r="171" spans="5:30" x14ac:dyDescent="0.2">
      <c r="E171" s="618" t="s">
        <v>215</v>
      </c>
      <c r="F171" s="654"/>
      <c r="G171" s="654"/>
      <c r="H171" s="655"/>
      <c r="I171" s="314"/>
      <c r="J171" s="330">
        <f>JAN!$AM$21</f>
        <v>0</v>
      </c>
      <c r="K171" s="330">
        <f>FEB!$AM$21</f>
        <v>0</v>
      </c>
      <c r="L171" s="330">
        <f>MRZ!$AM$21</f>
        <v>0</v>
      </c>
      <c r="M171" s="330">
        <f>APR!$AM$21</f>
        <v>0</v>
      </c>
      <c r="N171" s="330">
        <f>MAI!$AM$21</f>
        <v>0</v>
      </c>
      <c r="O171" s="330">
        <f>JUN!$AM$21</f>
        <v>0</v>
      </c>
      <c r="P171" s="330">
        <f>JUL!$AM$21</f>
        <v>0</v>
      </c>
      <c r="Q171" s="330">
        <f>AUG!$AM$21</f>
        <v>0</v>
      </c>
      <c r="R171" s="330">
        <f>SEP!$AM$21</f>
        <v>0</v>
      </c>
      <c r="S171" s="330">
        <f>OKT!$AM$21</f>
        <v>0</v>
      </c>
      <c r="T171" s="330">
        <f>NOV!$AM$21</f>
        <v>0</v>
      </c>
      <c r="U171" s="330">
        <f>DEZ!$AM$21</f>
        <v>0</v>
      </c>
      <c r="V171" s="315">
        <f>SUM(I171:U171)</f>
        <v>0</v>
      </c>
      <c r="W171" s="314"/>
    </row>
    <row r="172" spans="5:30" x14ac:dyDescent="0.2">
      <c r="E172" s="618" t="s">
        <v>216</v>
      </c>
      <c r="F172" s="654"/>
      <c r="G172" s="654"/>
      <c r="H172" s="655"/>
      <c r="I172" s="314"/>
      <c r="J172" s="314">
        <f>JAN!$AL$21</f>
        <v>0</v>
      </c>
      <c r="K172" s="314">
        <f>FEB!$AL$21</f>
        <v>0</v>
      </c>
      <c r="L172" s="314">
        <f>MRZ!$AL$21</f>
        <v>0</v>
      </c>
      <c r="M172" s="314">
        <f>APR!$AL$21</f>
        <v>0</v>
      </c>
      <c r="N172" s="314">
        <f>MAI!$AL$21</f>
        <v>0</v>
      </c>
      <c r="O172" s="314">
        <f>JUN!$AL$21</f>
        <v>0</v>
      </c>
      <c r="P172" s="314">
        <f>JUL!$AL$21</f>
        <v>0</v>
      </c>
      <c r="Q172" s="314">
        <f>AUG!$AL$21</f>
        <v>0</v>
      </c>
      <c r="R172" s="314">
        <f>SEP!$AL$21</f>
        <v>0</v>
      </c>
      <c r="S172" s="314">
        <f>OKT!$AL$21</f>
        <v>0</v>
      </c>
      <c r="T172" s="314">
        <f>NOV!$AL$21</f>
        <v>0</v>
      </c>
      <c r="U172" s="314">
        <f>DEZ!$AL$21</f>
        <v>0</v>
      </c>
      <c r="V172" s="315">
        <f t="shared" si="21"/>
        <v>0</v>
      </c>
      <c r="W172" s="314"/>
    </row>
    <row r="173" spans="5:30" x14ac:dyDescent="0.2">
      <c r="E173" s="312"/>
    </row>
    <row r="175" spans="5:30" s="189" customFormat="1" ht="18.95" customHeight="1" x14ac:dyDescent="0.2">
      <c r="E175" s="321" t="s">
        <v>166</v>
      </c>
      <c r="F175" s="321" t="s">
        <v>217</v>
      </c>
    </row>
    <row r="176" spans="5:30" x14ac:dyDescent="0.2">
      <c r="E176" s="631"/>
      <c r="F176" s="632"/>
      <c r="G176" s="632"/>
      <c r="H176" s="633"/>
      <c r="I176" s="322" t="s">
        <v>218</v>
      </c>
      <c r="J176" s="278">
        <v>1</v>
      </c>
      <c r="K176" s="278">
        <v>2</v>
      </c>
      <c r="L176" s="278">
        <v>3</v>
      </c>
      <c r="M176" s="278">
        <v>4</v>
      </c>
      <c r="N176" s="278">
        <v>5</v>
      </c>
      <c r="O176" s="278">
        <v>6</v>
      </c>
      <c r="P176" s="278">
        <v>7</v>
      </c>
      <c r="Q176" s="278">
        <v>8</v>
      </c>
      <c r="R176" s="278">
        <v>9</v>
      </c>
      <c r="S176" s="278">
        <v>10</v>
      </c>
      <c r="T176" s="278">
        <v>11</v>
      </c>
      <c r="U176" s="278">
        <v>12</v>
      </c>
      <c r="V176" s="278"/>
      <c r="W176" s="322" t="s">
        <v>219</v>
      </c>
      <c r="X176" s="453"/>
      <c r="Y176" s="453"/>
      <c r="Z176" s="454"/>
      <c r="AA176" s="454" t="s">
        <v>512</v>
      </c>
      <c r="AB176" s="495"/>
      <c r="AD176" s="452" t="s">
        <v>115</v>
      </c>
    </row>
    <row r="177" spans="5:30" x14ac:dyDescent="0.2">
      <c r="E177" s="634"/>
      <c r="F177" s="635"/>
      <c r="G177" s="635"/>
      <c r="H177" s="636"/>
      <c r="I177" s="279" t="s">
        <v>153</v>
      </c>
      <c r="J177" s="279" t="s">
        <v>69</v>
      </c>
      <c r="K177" s="279" t="s">
        <v>70</v>
      </c>
      <c r="L177" s="279" t="s">
        <v>71</v>
      </c>
      <c r="M177" s="279" t="s">
        <v>72</v>
      </c>
      <c r="N177" s="279" t="s">
        <v>73</v>
      </c>
      <c r="O177" s="279" t="s">
        <v>74</v>
      </c>
      <c r="P177" s="279" t="s">
        <v>75</v>
      </c>
      <c r="Q177" s="279" t="s">
        <v>76</v>
      </c>
      <c r="R177" s="279" t="s">
        <v>77</v>
      </c>
      <c r="S177" s="279" t="s">
        <v>78</v>
      </c>
      <c r="T177" s="279" t="s">
        <v>79</v>
      </c>
      <c r="U177" s="279" t="s">
        <v>80</v>
      </c>
      <c r="V177" s="279" t="s">
        <v>552</v>
      </c>
      <c r="W177" s="279" t="s">
        <v>155</v>
      </c>
    </row>
    <row r="178" spans="5:30" x14ac:dyDescent="0.2">
      <c r="E178" s="618" t="s">
        <v>583</v>
      </c>
      <c r="F178" s="654"/>
      <c r="G178" s="654"/>
      <c r="H178" s="655"/>
      <c r="I178" s="314">
        <f>B_fldFerienVJ</f>
        <v>0</v>
      </c>
      <c r="J178" s="314"/>
      <c r="K178" s="314"/>
      <c r="L178" s="314"/>
      <c r="M178" s="314"/>
      <c r="N178" s="314"/>
      <c r="O178" s="314"/>
      <c r="P178" s="314"/>
      <c r="Q178" s="314"/>
      <c r="R178" s="314"/>
      <c r="S178" s="314"/>
      <c r="T178" s="314"/>
      <c r="U178" s="314"/>
      <c r="V178" s="315">
        <f>SUM(I178:U178)</f>
        <v>0</v>
      </c>
      <c r="W178" s="314"/>
    </row>
    <row r="179" spans="5:30" x14ac:dyDescent="0.2">
      <c r="E179" s="618" t="s">
        <v>584</v>
      </c>
      <c r="F179" s="654"/>
      <c r="G179" s="654"/>
      <c r="H179" s="655"/>
      <c r="I179" s="314">
        <f ca="1">B_fldFerienBasis</f>
        <v>176</v>
      </c>
      <c r="J179" s="314"/>
      <c r="K179" s="314"/>
      <c r="L179" s="314"/>
      <c r="M179" s="314"/>
      <c r="N179" s="314"/>
      <c r="O179" s="314"/>
      <c r="P179" s="314"/>
      <c r="Q179" s="314"/>
      <c r="R179" s="314"/>
      <c r="S179" s="314"/>
      <c r="T179" s="314"/>
      <c r="U179" s="314"/>
      <c r="V179" s="315">
        <f ca="1">SUM(I179:U179)</f>
        <v>176</v>
      </c>
      <c r="W179" s="314"/>
    </row>
    <row r="180" spans="5:30" x14ac:dyDescent="0.2">
      <c r="E180" s="618" t="s">
        <v>220</v>
      </c>
      <c r="F180" s="654"/>
      <c r="G180" s="654"/>
      <c r="H180" s="655"/>
      <c r="I180" s="314"/>
      <c r="J180" s="314">
        <f>JAN!$AH$53</f>
        <v>0</v>
      </c>
      <c r="K180" s="314">
        <f>FEB!$AH$53</f>
        <v>0</v>
      </c>
      <c r="L180" s="314">
        <f>MRZ!$AH$53</f>
        <v>0</v>
      </c>
      <c r="M180" s="314">
        <f>APR!$AH$53</f>
        <v>0</v>
      </c>
      <c r="N180" s="314">
        <f>MAI!$AH$53</f>
        <v>0</v>
      </c>
      <c r="O180" s="314">
        <f>JUN!$AH$53</f>
        <v>0</v>
      </c>
      <c r="P180" s="314">
        <f>JUL!$AH$53</f>
        <v>0</v>
      </c>
      <c r="Q180" s="314">
        <f>AUG!$AH$53</f>
        <v>0</v>
      </c>
      <c r="R180" s="314">
        <f>SEP!$AH$53</f>
        <v>0</v>
      </c>
      <c r="S180" s="314">
        <f>OKT!$AH$53</f>
        <v>0</v>
      </c>
      <c r="T180" s="314">
        <f>NOV!$AH$53</f>
        <v>0</v>
      </c>
      <c r="U180" s="314">
        <f>DEZ!$AH$53</f>
        <v>0</v>
      </c>
      <c r="V180" s="315">
        <f>SUM(J180:U180)</f>
        <v>0</v>
      </c>
      <c r="W180" s="547">
        <f ca="1">SUM(V178:V180)</f>
        <v>176</v>
      </c>
      <c r="Z180" s="546" t="s">
        <v>597</v>
      </c>
    </row>
    <row r="181" spans="5:30" x14ac:dyDescent="0.2">
      <c r="E181" s="618" t="s">
        <v>221</v>
      </c>
      <c r="F181" s="654"/>
      <c r="G181" s="654"/>
      <c r="H181" s="655"/>
      <c r="I181" s="314"/>
      <c r="J181" s="314">
        <f>JAN!$AL$34</f>
        <v>0</v>
      </c>
      <c r="K181" s="314">
        <f>FEB!$AL$34</f>
        <v>0</v>
      </c>
      <c r="L181" s="314">
        <f>MRZ!$AL$34</f>
        <v>0</v>
      </c>
      <c r="M181" s="314">
        <f>APR!$AL$34</f>
        <v>0</v>
      </c>
      <c r="N181" s="324">
        <f>MAI!$AL$34</f>
        <v>0</v>
      </c>
      <c r="O181" s="314">
        <f>JUN!$AL$34</f>
        <v>0</v>
      </c>
      <c r="P181" s="314">
        <f>JUL!$AL$34</f>
        <v>0</v>
      </c>
      <c r="Q181" s="314">
        <f>AUG!$AL$34</f>
        <v>0</v>
      </c>
      <c r="R181" s="314">
        <f>SEP!$AL$34</f>
        <v>0</v>
      </c>
      <c r="S181" s="314">
        <f>OKT!$AL$34</f>
        <v>0</v>
      </c>
      <c r="T181" s="314">
        <f>NOV!$AL$34</f>
        <v>0</v>
      </c>
      <c r="U181" s="314">
        <f>DEZ!$AL$34</f>
        <v>0</v>
      </c>
      <c r="V181" s="315">
        <f t="shared" ref="V181" si="22">SUM(I181:U181)</f>
        <v>0</v>
      </c>
      <c r="W181" s="314"/>
    </row>
    <row r="182" spans="5:30" x14ac:dyDescent="0.2">
      <c r="E182" s="623" t="s">
        <v>222</v>
      </c>
      <c r="F182" s="624"/>
      <c r="G182" s="624"/>
      <c r="H182" s="625"/>
      <c r="I182" s="314">
        <f ca="1">SUM(I178:I180)-I181</f>
        <v>176</v>
      </c>
      <c r="J182" s="314">
        <f ca="1">I182+SUM(J178:J180)-J181</f>
        <v>176</v>
      </c>
      <c r="K182" s="314">
        <f t="shared" ref="K182:U182" ca="1" si="23">J182+SUM(K178:K180)-K181</f>
        <v>176</v>
      </c>
      <c r="L182" s="314">
        <f t="shared" ca="1" si="23"/>
        <v>176</v>
      </c>
      <c r="M182" s="314">
        <f t="shared" ca="1" si="23"/>
        <v>176</v>
      </c>
      <c r="N182" s="314">
        <f t="shared" ca="1" si="23"/>
        <v>176</v>
      </c>
      <c r="O182" s="314">
        <f t="shared" ca="1" si="23"/>
        <v>176</v>
      </c>
      <c r="P182" s="314">
        <f t="shared" ca="1" si="23"/>
        <v>176</v>
      </c>
      <c r="Q182" s="314">
        <f t="shared" ca="1" si="23"/>
        <v>176</v>
      </c>
      <c r="R182" s="314">
        <f t="shared" ca="1" si="23"/>
        <v>176</v>
      </c>
      <c r="S182" s="314">
        <f t="shared" ca="1" si="23"/>
        <v>176</v>
      </c>
      <c r="T182" s="314">
        <f t="shared" ca="1" si="23"/>
        <v>176</v>
      </c>
      <c r="U182" s="314">
        <f t="shared" ca="1" si="23"/>
        <v>176</v>
      </c>
      <c r="V182" s="315"/>
      <c r="W182" s="314">
        <f ca="1">U182</f>
        <v>176</v>
      </c>
    </row>
    <row r="186" spans="5:30" s="189" customFormat="1" ht="18.95" customHeight="1" x14ac:dyDescent="0.2">
      <c r="E186" s="321" t="s">
        <v>168</v>
      </c>
      <c r="X186" s="129"/>
      <c r="Y186" s="129"/>
    </row>
    <row r="187" spans="5:30" x14ac:dyDescent="0.2">
      <c r="E187" s="631"/>
      <c r="F187" s="632"/>
      <c r="G187" s="632"/>
      <c r="H187" s="633"/>
      <c r="I187" s="278"/>
      <c r="J187" s="278">
        <v>1</v>
      </c>
      <c r="K187" s="278">
        <v>2</v>
      </c>
      <c r="L187" s="278">
        <v>3</v>
      </c>
      <c r="M187" s="278">
        <v>4</v>
      </c>
      <c r="N187" s="278">
        <v>5</v>
      </c>
      <c r="O187" s="278">
        <v>6</v>
      </c>
      <c r="P187" s="278">
        <v>7</v>
      </c>
      <c r="Q187" s="278">
        <v>8</v>
      </c>
      <c r="R187" s="278">
        <v>9</v>
      </c>
      <c r="S187" s="278">
        <v>10</v>
      </c>
      <c r="T187" s="278">
        <v>11</v>
      </c>
      <c r="U187" s="278">
        <v>12</v>
      </c>
      <c r="V187" s="278"/>
      <c r="W187" s="278"/>
      <c r="X187" s="453"/>
      <c r="Y187" s="453"/>
      <c r="Z187" s="454"/>
      <c r="AA187" s="454" t="s">
        <v>512</v>
      </c>
      <c r="AB187" s="495"/>
      <c r="AD187" s="452" t="s">
        <v>115</v>
      </c>
    </row>
    <row r="188" spans="5:30" x14ac:dyDescent="0.2">
      <c r="E188" s="634"/>
      <c r="F188" s="635"/>
      <c r="G188" s="635"/>
      <c r="H188" s="636"/>
      <c r="I188" s="279"/>
      <c r="J188" s="279" t="s">
        <v>69</v>
      </c>
      <c r="K188" s="279" t="s">
        <v>70</v>
      </c>
      <c r="L188" s="279" t="s">
        <v>71</v>
      </c>
      <c r="M188" s="279" t="s">
        <v>72</v>
      </c>
      <c r="N188" s="279" t="s">
        <v>73</v>
      </c>
      <c r="O188" s="279" t="s">
        <v>74</v>
      </c>
      <c r="P188" s="279" t="s">
        <v>75</v>
      </c>
      <c r="Q188" s="279" t="s">
        <v>76</v>
      </c>
      <c r="R188" s="279" t="s">
        <v>77</v>
      </c>
      <c r="S188" s="279" t="s">
        <v>78</v>
      </c>
      <c r="T188" s="279" t="s">
        <v>79</v>
      </c>
      <c r="U188" s="279" t="s">
        <v>80</v>
      </c>
      <c r="V188" s="279" t="s">
        <v>552</v>
      </c>
      <c r="W188" s="279" t="s">
        <v>155</v>
      </c>
    </row>
    <row r="189" spans="5:30" x14ac:dyDescent="0.2">
      <c r="E189" s="618" t="s">
        <v>188</v>
      </c>
      <c r="F189" s="654"/>
      <c r="G189" s="654"/>
      <c r="H189" s="655"/>
      <c r="I189" s="314"/>
      <c r="J189" s="314">
        <f>JAN!$AL37</f>
        <v>0</v>
      </c>
      <c r="K189" s="314">
        <f>FEB!$AL37</f>
        <v>0</v>
      </c>
      <c r="L189" s="314">
        <f>MRZ!$AL37</f>
        <v>0</v>
      </c>
      <c r="M189" s="314">
        <f>APR!$AL37</f>
        <v>0</v>
      </c>
      <c r="N189" s="314">
        <f>MAI!$AL37</f>
        <v>0</v>
      </c>
      <c r="O189" s="314">
        <f>JUN!$AL37</f>
        <v>0</v>
      </c>
      <c r="P189" s="314">
        <f>JUL!$AL37</f>
        <v>0</v>
      </c>
      <c r="Q189" s="314">
        <f>AUG!$AL37</f>
        <v>0</v>
      </c>
      <c r="R189" s="314">
        <f>SEP!$AL37</f>
        <v>0</v>
      </c>
      <c r="S189" s="314">
        <f>OKT!$AL37</f>
        <v>0</v>
      </c>
      <c r="T189" s="314">
        <f>NOV!$AL37</f>
        <v>0</v>
      </c>
      <c r="U189" s="314">
        <f>DEZ!$AL37</f>
        <v>0</v>
      </c>
      <c r="V189" s="315">
        <f>SUM(J189:U189)</f>
        <v>0</v>
      </c>
      <c r="W189" s="314"/>
      <c r="X189" s="323" t="s">
        <v>189</v>
      </c>
      <c r="Y189" s="323"/>
      <c r="Z189" s="12" t="s">
        <v>190</v>
      </c>
    </row>
    <row r="190" spans="5:30" x14ac:dyDescent="0.2">
      <c r="E190" s="618" t="s">
        <v>191</v>
      </c>
      <c r="F190" s="654"/>
      <c r="G190" s="654"/>
      <c r="H190" s="655"/>
      <c r="I190" s="314"/>
      <c r="J190" s="314">
        <f>JAN!$AL38</f>
        <v>0</v>
      </c>
      <c r="K190" s="314">
        <f>FEB!$AL38</f>
        <v>0</v>
      </c>
      <c r="L190" s="314">
        <f>MRZ!$AL38</f>
        <v>0</v>
      </c>
      <c r="M190" s="314">
        <f>APR!$AL38</f>
        <v>0</v>
      </c>
      <c r="N190" s="314">
        <f>MAI!$AL38</f>
        <v>0</v>
      </c>
      <c r="O190" s="314">
        <f>JUN!$AL38</f>
        <v>0</v>
      </c>
      <c r="P190" s="314">
        <f>JUL!$AL38</f>
        <v>0</v>
      </c>
      <c r="Q190" s="314">
        <f>AUG!$AL38</f>
        <v>0</v>
      </c>
      <c r="R190" s="314">
        <f>SEP!$AL38</f>
        <v>0</v>
      </c>
      <c r="S190" s="314">
        <f>OKT!$AL38</f>
        <v>0</v>
      </c>
      <c r="T190" s="314">
        <f>NOV!$AL38</f>
        <v>0</v>
      </c>
      <c r="U190" s="314">
        <f>DEZ!$AL38</f>
        <v>0</v>
      </c>
      <c r="V190" s="315">
        <f t="shared" ref="V190" si="24">SUM(J190:U190)</f>
        <v>0</v>
      </c>
      <c r="W190" s="314"/>
      <c r="X190" s="323" t="s">
        <v>192</v>
      </c>
      <c r="Y190" s="323"/>
      <c r="Z190" s="12" t="s">
        <v>193</v>
      </c>
    </row>
    <row r="191" spans="5:30" x14ac:dyDescent="0.2">
      <c r="E191" s="661" t="s">
        <v>223</v>
      </c>
      <c r="F191" s="662"/>
      <c r="G191" s="662"/>
      <c r="H191" s="663"/>
      <c r="I191" s="314"/>
      <c r="J191" s="314" cm="1">
        <f t="array" ref="J191">SUMPRODUCT((JAN!$F$38:$AJ$38)*(JAN!$F$50:$AJ$50="x"))</f>
        <v>0</v>
      </c>
      <c r="K191" s="314" cm="1">
        <f t="array" ref="K191">SUMPRODUCT((FEB!$F$38:$AJ$38)*(FEB!$F$50:$AJ$50="x"))</f>
        <v>0</v>
      </c>
      <c r="L191" s="314" cm="1">
        <f t="array" ref="L191">SUMPRODUCT((MRZ!$F$38:$AJ$38)*(MRZ!$F$50:$AJ$50="x"))</f>
        <v>0</v>
      </c>
      <c r="M191" s="314" cm="1">
        <f t="array" ref="M191">SUMPRODUCT((APR!$F$38:$AJ$38)*(APR!$F$50:$AJ$50="x"))</f>
        <v>0</v>
      </c>
      <c r="N191" s="314" cm="1">
        <f t="array" ref="N191">SUMPRODUCT((MAI!$F$38:$AJ$38)*(MAI!$F$50:$AJ$50="x"))</f>
        <v>0</v>
      </c>
      <c r="O191" s="314" cm="1">
        <f t="array" ref="O191">SUMPRODUCT((JUN!$F$38:$AJ$38)*(JUN!$F$50:$AJ$50="x"))</f>
        <v>0</v>
      </c>
      <c r="P191" s="314" cm="1">
        <f t="array" ref="P191">SUMPRODUCT((JUL!$F$38:$AJ$38)*(JUL!$F$50:$AJ$50="x"))</f>
        <v>0</v>
      </c>
      <c r="Q191" s="314" cm="1">
        <f t="array" ref="Q191">SUMPRODUCT((AUG!$F$38:$AJ$38)*(AUG!$F$50:$AJ$50="x"))</f>
        <v>0</v>
      </c>
      <c r="R191" s="314" cm="1">
        <f t="array" ref="R191">SUMPRODUCT((SEP!$F$38:$AJ$38)*(SEP!$F$50:$AJ$50="x"))</f>
        <v>0</v>
      </c>
      <c r="S191" s="314" cm="1">
        <f t="array" ref="S191">SUMPRODUCT((OKT!$F$38:$AJ$38)*(OKT!$F$50:$AJ$50="x"))</f>
        <v>0</v>
      </c>
      <c r="T191" s="314" cm="1">
        <f t="array" ref="T191">SUMPRODUCT((NOV!$F$38:$AJ$38)*(NOV!$F$50:$AJ$50="x"))</f>
        <v>0</v>
      </c>
      <c r="U191" s="314" cm="1">
        <f t="array" ref="U191">SUMPRODUCT((DEZ!$F$38:$AJ$38)*(DEZ!$F$50:$AJ$50="x"))</f>
        <v>0</v>
      </c>
      <c r="V191" s="558">
        <f>SUM($J$191:$U$191)</f>
        <v>0</v>
      </c>
      <c r="W191" s="314"/>
      <c r="X191" s="323"/>
      <c r="Y191" s="323"/>
      <c r="Z191" s="12"/>
    </row>
    <row r="192" spans="5:30" x14ac:dyDescent="0.2">
      <c r="E192" s="618" t="s">
        <v>194</v>
      </c>
      <c r="F192" s="654"/>
      <c r="G192" s="654"/>
      <c r="H192" s="655"/>
      <c r="I192" s="314"/>
      <c r="J192" s="314">
        <f>JAN!$AL39</f>
        <v>0</v>
      </c>
      <c r="K192" s="314">
        <f>FEB!$AL39</f>
        <v>0</v>
      </c>
      <c r="L192" s="314">
        <f>MRZ!$AL39</f>
        <v>0</v>
      </c>
      <c r="M192" s="314">
        <f>APR!$AL39</f>
        <v>0</v>
      </c>
      <c r="N192" s="314">
        <f>MAI!$AL39</f>
        <v>0</v>
      </c>
      <c r="O192" s="314">
        <f>JUN!$AL39</f>
        <v>0</v>
      </c>
      <c r="P192" s="314">
        <f>JUL!$AL39</f>
        <v>0</v>
      </c>
      <c r="Q192" s="314">
        <f>AUG!$AL39</f>
        <v>0</v>
      </c>
      <c r="R192" s="314">
        <f>SEP!$AL39</f>
        <v>0</v>
      </c>
      <c r="S192" s="314">
        <f>OKT!$AL39</f>
        <v>0</v>
      </c>
      <c r="T192" s="314">
        <f>NOV!$AL39</f>
        <v>0</v>
      </c>
      <c r="U192" s="314">
        <f>DEZ!$AL39</f>
        <v>0</v>
      </c>
      <c r="V192" s="315">
        <f>SUM(J192:U192)</f>
        <v>0</v>
      </c>
      <c r="W192" s="314"/>
      <c r="X192" s="323" t="s">
        <v>195</v>
      </c>
      <c r="Y192" s="323"/>
      <c r="Z192" s="12" t="s">
        <v>196</v>
      </c>
    </row>
    <row r="193" spans="5:30" x14ac:dyDescent="0.2">
      <c r="E193" s="618" t="s">
        <v>197</v>
      </c>
      <c r="F193" s="654"/>
      <c r="G193" s="654"/>
      <c r="H193" s="655"/>
      <c r="I193" s="314"/>
      <c r="J193" s="314">
        <f>JAN!$AL40</f>
        <v>0</v>
      </c>
      <c r="K193" s="314">
        <f>FEB!$AL40</f>
        <v>0</v>
      </c>
      <c r="L193" s="314">
        <f>MRZ!$AL40</f>
        <v>0</v>
      </c>
      <c r="M193" s="314">
        <f>APR!$AL40</f>
        <v>0</v>
      </c>
      <c r="N193" s="314">
        <f>MAI!$AL40</f>
        <v>0</v>
      </c>
      <c r="O193" s="314">
        <f>JUN!$AL40</f>
        <v>0</v>
      </c>
      <c r="P193" s="314">
        <f>JUL!$AL40</f>
        <v>0</v>
      </c>
      <c r="Q193" s="314">
        <f>AUG!$AL40</f>
        <v>0</v>
      </c>
      <c r="R193" s="314">
        <f>SEP!$AL40</f>
        <v>0</v>
      </c>
      <c r="S193" s="314">
        <f>OKT!$AL40</f>
        <v>0</v>
      </c>
      <c r="T193" s="314">
        <f>NOV!$AL40</f>
        <v>0</v>
      </c>
      <c r="U193" s="314">
        <f>DEZ!$AL40</f>
        <v>0</v>
      </c>
      <c r="V193" s="315">
        <f t="shared" ref="V193:V195" si="25">SUM(J193:U193)</f>
        <v>0</v>
      </c>
      <c r="W193" s="314"/>
      <c r="X193" s="323" t="s">
        <v>198</v>
      </c>
      <c r="Y193" s="323"/>
      <c r="Z193" s="12" t="s">
        <v>199</v>
      </c>
    </row>
    <row r="194" spans="5:30" x14ac:dyDescent="0.2">
      <c r="E194" s="618" t="s">
        <v>200</v>
      </c>
      <c r="F194" s="654"/>
      <c r="G194" s="654"/>
      <c r="H194" s="655"/>
      <c r="I194" s="314"/>
      <c r="J194" s="314">
        <f>JAN!$AL41</f>
        <v>0</v>
      </c>
      <c r="K194" s="314">
        <f>FEB!$AL41</f>
        <v>0</v>
      </c>
      <c r="L194" s="314">
        <f>MRZ!$AL41</f>
        <v>0</v>
      </c>
      <c r="M194" s="314">
        <f>APR!$AL41</f>
        <v>0</v>
      </c>
      <c r="N194" s="314">
        <f>MAI!$AL41</f>
        <v>0</v>
      </c>
      <c r="O194" s="314">
        <f>JUN!$AL41</f>
        <v>0</v>
      </c>
      <c r="P194" s="314">
        <f>JUL!$AL41</f>
        <v>0</v>
      </c>
      <c r="Q194" s="314">
        <f>AUG!$AL41</f>
        <v>0</v>
      </c>
      <c r="R194" s="314">
        <f>SEP!$AL41</f>
        <v>0</v>
      </c>
      <c r="S194" s="314">
        <f>OKT!$AL41</f>
        <v>0</v>
      </c>
      <c r="T194" s="314">
        <f>NOV!$AL41</f>
        <v>0</v>
      </c>
      <c r="U194" s="314">
        <f>DEZ!$AL41</f>
        <v>0</v>
      </c>
      <c r="V194" s="315">
        <f t="shared" si="25"/>
        <v>0</v>
      </c>
      <c r="W194" s="314"/>
      <c r="X194" s="323" t="s">
        <v>201</v>
      </c>
      <c r="Y194" s="323"/>
      <c r="Z194" s="12" t="s">
        <v>202</v>
      </c>
    </row>
    <row r="195" spans="5:30" x14ac:dyDescent="0.2">
      <c r="E195" s="618" t="s">
        <v>203</v>
      </c>
      <c r="F195" s="654"/>
      <c r="G195" s="654"/>
      <c r="H195" s="655"/>
      <c r="I195" s="314"/>
      <c r="J195" s="314">
        <f>JAN!$AL42</f>
        <v>0</v>
      </c>
      <c r="K195" s="314">
        <f>FEB!$AL42</f>
        <v>0</v>
      </c>
      <c r="L195" s="314">
        <f>MRZ!$AL42</f>
        <v>0</v>
      </c>
      <c r="M195" s="314">
        <f>APR!$AL42</f>
        <v>0</v>
      </c>
      <c r="N195" s="314">
        <f>MAI!$AL42</f>
        <v>0</v>
      </c>
      <c r="O195" s="314">
        <f>JUN!$AL42</f>
        <v>0</v>
      </c>
      <c r="P195" s="314">
        <f>JUL!$AL42</f>
        <v>0</v>
      </c>
      <c r="Q195" s="314">
        <f>AUG!$AL42</f>
        <v>0</v>
      </c>
      <c r="R195" s="314">
        <f>SEP!$AL42</f>
        <v>0</v>
      </c>
      <c r="S195" s="314">
        <f>OKT!$AL42</f>
        <v>0</v>
      </c>
      <c r="T195" s="314">
        <f>NOV!$AL42</f>
        <v>0</v>
      </c>
      <c r="U195" s="314">
        <f>DEZ!$AL42</f>
        <v>0</v>
      </c>
      <c r="V195" s="315">
        <f t="shared" si="25"/>
        <v>0</v>
      </c>
      <c r="W195" s="314"/>
      <c r="X195" s="323" t="s">
        <v>204</v>
      </c>
      <c r="Y195" s="323"/>
    </row>
    <row r="196" spans="5:30" x14ac:dyDescent="0.2">
      <c r="E196" s="618" t="s">
        <v>205</v>
      </c>
      <c r="F196" s="654"/>
      <c r="G196" s="654"/>
      <c r="H196" s="655"/>
      <c r="I196" s="314"/>
      <c r="J196" s="314">
        <f>JAN!$AL43</f>
        <v>0</v>
      </c>
      <c r="K196" s="314">
        <f>FEB!$AL43</f>
        <v>0</v>
      </c>
      <c r="L196" s="314">
        <f>MRZ!$AL43</f>
        <v>0</v>
      </c>
      <c r="M196" s="314">
        <f>APR!$AL43</f>
        <v>0</v>
      </c>
      <c r="N196" s="314">
        <f>MAI!$AL43</f>
        <v>0</v>
      </c>
      <c r="O196" s="314">
        <f>JUN!$AL43</f>
        <v>0</v>
      </c>
      <c r="P196" s="314">
        <f>JUL!$AL43</f>
        <v>0</v>
      </c>
      <c r="Q196" s="314">
        <f>AUG!$AL43</f>
        <v>0</v>
      </c>
      <c r="R196" s="314">
        <f>SEP!$AL43</f>
        <v>0</v>
      </c>
      <c r="S196" s="314">
        <f>OKT!$AL43</f>
        <v>0</v>
      </c>
      <c r="T196" s="314">
        <f>NOV!$AL43</f>
        <v>0</v>
      </c>
      <c r="U196" s="314">
        <f>DEZ!$AL43</f>
        <v>0</v>
      </c>
      <c r="V196" s="315">
        <f t="shared" ref="V196" si="26">SUM(J196:U196)</f>
        <v>0</v>
      </c>
      <c r="W196" s="314"/>
      <c r="X196" s="323" t="s">
        <v>206</v>
      </c>
      <c r="Y196" s="323"/>
    </row>
    <row r="197" spans="5:30" x14ac:dyDescent="0.2">
      <c r="E197" s="618" t="s">
        <v>207</v>
      </c>
      <c r="F197" s="654"/>
      <c r="G197" s="654"/>
      <c r="H197" s="655"/>
      <c r="I197" s="314"/>
      <c r="J197" s="314">
        <f>JAN!$AL44</f>
        <v>0</v>
      </c>
      <c r="K197" s="314">
        <f>FEB!$AL44</f>
        <v>0</v>
      </c>
      <c r="L197" s="314">
        <f>MRZ!$AL44</f>
        <v>0</v>
      </c>
      <c r="M197" s="314">
        <f>APR!$AL44</f>
        <v>0</v>
      </c>
      <c r="N197" s="314">
        <f>MAI!$AL44</f>
        <v>0</v>
      </c>
      <c r="O197" s="314">
        <f>JUN!$AL44</f>
        <v>0</v>
      </c>
      <c r="P197" s="314">
        <f>JUL!$AL44</f>
        <v>0</v>
      </c>
      <c r="Q197" s="314">
        <f>AUG!$AL44</f>
        <v>0</v>
      </c>
      <c r="R197" s="314">
        <f>SEP!$AL44</f>
        <v>0</v>
      </c>
      <c r="S197" s="314">
        <f>OKT!$AL44</f>
        <v>0</v>
      </c>
      <c r="T197" s="314">
        <f>NOV!$AL44</f>
        <v>0</v>
      </c>
      <c r="U197" s="314">
        <f>DEZ!$AL44</f>
        <v>0</v>
      </c>
      <c r="V197" s="315">
        <f>SUM(J197:U197)</f>
        <v>0</v>
      </c>
      <c r="W197" s="314"/>
      <c r="X197" s="323" t="s">
        <v>208</v>
      </c>
      <c r="Y197" s="323"/>
    </row>
    <row r="198" spans="5:30" x14ac:dyDescent="0.2">
      <c r="E198" s="618" t="s">
        <v>604</v>
      </c>
      <c r="F198" s="619"/>
      <c r="G198" s="619"/>
      <c r="H198" s="620"/>
      <c r="I198" s="314"/>
      <c r="J198" s="314">
        <f>JAN!$AL45</f>
        <v>0</v>
      </c>
      <c r="K198" s="314">
        <f>FEB!$AL45</f>
        <v>0</v>
      </c>
      <c r="L198" s="314">
        <f>MRZ!$AL45</f>
        <v>0</v>
      </c>
      <c r="M198" s="314">
        <f>APR!$AL45</f>
        <v>0</v>
      </c>
      <c r="N198" s="314">
        <f>MAI!$AL45</f>
        <v>0</v>
      </c>
      <c r="O198" s="314">
        <f>JUN!$AL45</f>
        <v>0</v>
      </c>
      <c r="P198" s="314">
        <f>JUL!$AL45</f>
        <v>0</v>
      </c>
      <c r="Q198" s="314">
        <f>AUG!$AL45</f>
        <v>0</v>
      </c>
      <c r="R198" s="314">
        <f>SEP!$AL45</f>
        <v>0</v>
      </c>
      <c r="S198" s="314">
        <f>OKT!$AL45</f>
        <v>0</v>
      </c>
      <c r="T198" s="314">
        <f>NOV!$AL45</f>
        <v>0</v>
      </c>
      <c r="U198" s="314">
        <f>DEZ!$AL45</f>
        <v>0</v>
      </c>
      <c r="V198" s="315">
        <f>SUM(J198:U198)</f>
        <v>0</v>
      </c>
      <c r="W198" s="314"/>
      <c r="X198" s="323" t="s">
        <v>602</v>
      </c>
      <c r="Y198" s="323"/>
    </row>
    <row r="199" spans="5:30" x14ac:dyDescent="0.2">
      <c r="E199" s="623" t="s">
        <v>603</v>
      </c>
      <c r="F199" s="624"/>
      <c r="G199" s="624"/>
      <c r="H199" s="625"/>
      <c r="I199" s="314"/>
      <c r="J199" s="314">
        <f>SUM(J189:J190,J192:J198)</f>
        <v>0</v>
      </c>
      <c r="K199" s="314">
        <f t="shared" ref="K199:U199" si="27">SUM(K189:K190,K192:K198)</f>
        <v>0</v>
      </c>
      <c r="L199" s="314">
        <f t="shared" si="27"/>
        <v>0</v>
      </c>
      <c r="M199" s="314">
        <f t="shared" si="27"/>
        <v>0</v>
      </c>
      <c r="N199" s="314">
        <f t="shared" si="27"/>
        <v>0</v>
      </c>
      <c r="O199" s="314">
        <f t="shared" si="27"/>
        <v>0</v>
      </c>
      <c r="P199" s="314">
        <f t="shared" si="27"/>
        <v>0</v>
      </c>
      <c r="Q199" s="314">
        <f t="shared" si="27"/>
        <v>0</v>
      </c>
      <c r="R199" s="314">
        <f t="shared" si="27"/>
        <v>0</v>
      </c>
      <c r="S199" s="314">
        <f t="shared" si="27"/>
        <v>0</v>
      </c>
      <c r="T199" s="314">
        <f t="shared" si="27"/>
        <v>0</v>
      </c>
      <c r="U199" s="314">
        <f t="shared" si="27"/>
        <v>0</v>
      </c>
      <c r="V199" s="315">
        <f>SUM(J199:U199)</f>
        <v>0</v>
      </c>
      <c r="W199" s="314"/>
    </row>
    <row r="202" spans="5:30" s="189" customFormat="1" ht="18.95" customHeight="1" x14ac:dyDescent="0.2">
      <c r="E202" s="321" t="s">
        <v>224</v>
      </c>
      <c r="X202" s="129"/>
      <c r="Y202" s="129"/>
    </row>
    <row r="203" spans="5:30" x14ac:dyDescent="0.2">
      <c r="E203" s="631"/>
      <c r="F203" s="632"/>
      <c r="G203" s="632"/>
      <c r="H203" s="633"/>
      <c r="I203" s="278"/>
      <c r="J203" s="278">
        <v>1</v>
      </c>
      <c r="K203" s="278">
        <v>2</v>
      </c>
      <c r="L203" s="278">
        <v>3</v>
      </c>
      <c r="M203" s="278">
        <v>4</v>
      </c>
      <c r="N203" s="278">
        <v>5</v>
      </c>
      <c r="O203" s="278">
        <v>6</v>
      </c>
      <c r="P203" s="278">
        <v>7</v>
      </c>
      <c r="Q203" s="278">
        <v>8</v>
      </c>
      <c r="R203" s="278">
        <v>9</v>
      </c>
      <c r="S203" s="278">
        <v>10</v>
      </c>
      <c r="T203" s="278">
        <v>11</v>
      </c>
      <c r="U203" s="278">
        <v>12</v>
      </c>
      <c r="V203" s="278"/>
      <c r="W203" s="278"/>
      <c r="X203" s="453"/>
      <c r="Y203" s="453"/>
      <c r="Z203" s="454"/>
      <c r="AA203" s="454" t="s">
        <v>512</v>
      </c>
      <c r="AB203" s="495"/>
      <c r="AD203" s="452" t="s">
        <v>115</v>
      </c>
    </row>
    <row r="204" spans="5:30" x14ac:dyDescent="0.2">
      <c r="E204" s="634"/>
      <c r="F204" s="635"/>
      <c r="G204" s="635"/>
      <c r="H204" s="636"/>
      <c r="I204" s="279" t="s">
        <v>153</v>
      </c>
      <c r="J204" s="279" t="s">
        <v>69</v>
      </c>
      <c r="K204" s="279" t="s">
        <v>70</v>
      </c>
      <c r="L204" s="279" t="s">
        <v>71</v>
      </c>
      <c r="M204" s="279" t="s">
        <v>72</v>
      </c>
      <c r="N204" s="279" t="s">
        <v>73</v>
      </c>
      <c r="O204" s="279" t="s">
        <v>74</v>
      </c>
      <c r="P204" s="279" t="s">
        <v>75</v>
      </c>
      <c r="Q204" s="279" t="s">
        <v>76</v>
      </c>
      <c r="R204" s="279" t="s">
        <v>77</v>
      </c>
      <c r="S204" s="279" t="s">
        <v>78</v>
      </c>
      <c r="T204" s="279" t="s">
        <v>79</v>
      </c>
      <c r="U204" s="279" t="s">
        <v>80</v>
      </c>
      <c r="V204" s="279" t="s">
        <v>552</v>
      </c>
      <c r="W204" s="279" t="s">
        <v>155</v>
      </c>
    </row>
    <row r="205" spans="5:30" x14ac:dyDescent="0.2">
      <c r="E205" s="618" t="s">
        <v>225</v>
      </c>
      <c r="F205" s="654"/>
      <c r="G205" s="654"/>
      <c r="H205" s="655"/>
      <c r="I205" s="314"/>
      <c r="J205" s="314">
        <f>JAN!$AL46</f>
        <v>0</v>
      </c>
      <c r="K205" s="314">
        <f>FEB!$AL46</f>
        <v>0</v>
      </c>
      <c r="L205" s="314">
        <f>MRZ!$AL46</f>
        <v>0</v>
      </c>
      <c r="M205" s="314">
        <f>APR!$AL46</f>
        <v>0</v>
      </c>
      <c r="N205" s="314">
        <f>MAI!$AL46</f>
        <v>0</v>
      </c>
      <c r="O205" s="314">
        <f>JUN!$AL46</f>
        <v>0</v>
      </c>
      <c r="P205" s="314">
        <f>JUL!$AL46</f>
        <v>0</v>
      </c>
      <c r="Q205" s="314">
        <f>AUG!$AL46</f>
        <v>0</v>
      </c>
      <c r="R205" s="314">
        <f>SEP!$AL46</f>
        <v>0</v>
      </c>
      <c r="S205" s="314">
        <f>OKT!$AL46</f>
        <v>0</v>
      </c>
      <c r="T205" s="314">
        <f>NOV!$AL46</f>
        <v>0</v>
      </c>
      <c r="U205" s="314">
        <f>DEZ!$AL46</f>
        <v>0</v>
      </c>
      <c r="V205" s="315">
        <f>SUM(J205:U205)</f>
        <v>0</v>
      </c>
      <c r="W205" s="314"/>
      <c r="X205" s="323" t="s">
        <v>226</v>
      </c>
      <c r="Y205" s="323"/>
    </row>
    <row r="206" spans="5:30" x14ac:dyDescent="0.2">
      <c r="E206" s="618" t="s">
        <v>227</v>
      </c>
      <c r="F206" s="654"/>
      <c r="G206" s="654"/>
      <c r="H206" s="655"/>
      <c r="I206" s="314"/>
      <c r="J206" s="314">
        <f>JAN!$AL47</f>
        <v>0</v>
      </c>
      <c r="K206" s="314">
        <f>FEB!$AL47</f>
        <v>0</v>
      </c>
      <c r="L206" s="314">
        <f>MRZ!$AL47</f>
        <v>0</v>
      </c>
      <c r="M206" s="314">
        <f>APR!$AL47</f>
        <v>0</v>
      </c>
      <c r="N206" s="314">
        <f>MAI!$AL47</f>
        <v>0</v>
      </c>
      <c r="O206" s="314">
        <f>JUN!$AL47</f>
        <v>0</v>
      </c>
      <c r="P206" s="314">
        <f>JUL!$AL47</f>
        <v>0</v>
      </c>
      <c r="Q206" s="314">
        <f>AUG!$AL47</f>
        <v>0</v>
      </c>
      <c r="R206" s="314">
        <f>SEP!$AL47</f>
        <v>0</v>
      </c>
      <c r="S206" s="314">
        <f>OKT!$AL47</f>
        <v>0</v>
      </c>
      <c r="T206" s="314">
        <f>NOV!$AL47</f>
        <v>0</v>
      </c>
      <c r="U206" s="314">
        <f>DEZ!$AL47</f>
        <v>0</v>
      </c>
      <c r="V206" s="315">
        <f>SUM(J206:U206)</f>
        <v>0</v>
      </c>
      <c r="W206" s="314"/>
      <c r="X206" s="323" t="s">
        <v>228</v>
      </c>
      <c r="Y206" s="323"/>
    </row>
    <row r="207" spans="5:30" x14ac:dyDescent="0.2">
      <c r="E207" s="656"/>
      <c r="F207" s="657"/>
      <c r="G207" s="657"/>
      <c r="H207" s="658"/>
      <c r="I207" s="314"/>
      <c r="J207" s="314"/>
      <c r="K207" s="314"/>
      <c r="L207" s="314"/>
      <c r="M207" s="314"/>
      <c r="N207" s="314"/>
      <c r="O207" s="314"/>
      <c r="P207" s="314"/>
      <c r="Q207" s="314"/>
      <c r="R207" s="314"/>
      <c r="S207" s="314"/>
      <c r="T207" s="314"/>
      <c r="U207" s="314"/>
      <c r="V207" s="315"/>
      <c r="W207" s="314"/>
    </row>
    <row r="212" spans="2:30" ht="15.75" x14ac:dyDescent="0.2">
      <c r="B212" s="603" t="s">
        <v>571</v>
      </c>
      <c r="C212" s="603"/>
      <c r="D212" s="603"/>
      <c r="E212" s="603"/>
      <c r="F212" s="603"/>
      <c r="G212" s="603"/>
      <c r="H212" s="603"/>
      <c r="I212" s="603"/>
      <c r="J212" s="603"/>
      <c r="K212" s="603"/>
      <c r="L212" s="603"/>
      <c r="M212" s="603"/>
      <c r="N212" s="603"/>
      <c r="O212" s="603"/>
      <c r="P212" s="603"/>
      <c r="Q212" s="603"/>
      <c r="R212" s="603"/>
      <c r="S212" s="603"/>
      <c r="T212" s="603"/>
      <c r="U212" s="603"/>
    </row>
    <row r="214" spans="2:30" s="189" customFormat="1" ht="18.95" customHeight="1" x14ac:dyDescent="0.2">
      <c r="E214" s="321" t="s">
        <v>224</v>
      </c>
      <c r="X214" s="129"/>
      <c r="Y214" s="129"/>
    </row>
    <row r="215" spans="2:30" x14ac:dyDescent="0.2">
      <c r="E215" s="631"/>
      <c r="F215" s="632"/>
      <c r="G215" s="632"/>
      <c r="H215" s="633"/>
      <c r="I215" s="278"/>
      <c r="J215" s="278">
        <v>1</v>
      </c>
      <c r="K215" s="278">
        <v>2</v>
      </c>
      <c r="L215" s="278">
        <v>3</v>
      </c>
      <c r="M215" s="278">
        <v>4</v>
      </c>
      <c r="N215" s="278">
        <v>5</v>
      </c>
      <c r="O215" s="278">
        <v>6</v>
      </c>
      <c r="P215" s="278">
        <v>7</v>
      </c>
      <c r="Q215" s="278">
        <v>8</v>
      </c>
      <c r="R215" s="278">
        <v>9</v>
      </c>
      <c r="S215" s="278">
        <v>10</v>
      </c>
      <c r="T215" s="278">
        <v>11</v>
      </c>
      <c r="U215" s="278">
        <v>12</v>
      </c>
      <c r="V215" s="278"/>
      <c r="W215" s="278"/>
      <c r="X215" s="454"/>
      <c r="Y215" s="454"/>
      <c r="Z215" s="454"/>
      <c r="AA215" s="454"/>
      <c r="AB215" s="495"/>
      <c r="AD215" s="452"/>
    </row>
    <row r="216" spans="2:30" x14ac:dyDescent="0.2">
      <c r="E216" s="634"/>
      <c r="F216" s="635"/>
      <c r="G216" s="635"/>
      <c r="H216" s="636"/>
      <c r="I216" s="279" t="s">
        <v>153</v>
      </c>
      <c r="J216" s="279" t="s">
        <v>69</v>
      </c>
      <c r="K216" s="279" t="s">
        <v>70</v>
      </c>
      <c r="L216" s="279" t="s">
        <v>71</v>
      </c>
      <c r="M216" s="279" t="s">
        <v>72</v>
      </c>
      <c r="N216" s="279" t="s">
        <v>73</v>
      </c>
      <c r="O216" s="279" t="s">
        <v>74</v>
      </c>
      <c r="P216" s="279" t="s">
        <v>75</v>
      </c>
      <c r="Q216" s="279" t="s">
        <v>76</v>
      </c>
      <c r="R216" s="279" t="s">
        <v>77</v>
      </c>
      <c r="S216" s="279" t="s">
        <v>78</v>
      </c>
      <c r="T216" s="279" t="s">
        <v>79</v>
      </c>
      <c r="U216" s="279" t="s">
        <v>80</v>
      </c>
      <c r="V216" s="279" t="s">
        <v>552</v>
      </c>
      <c r="W216" s="279" t="s">
        <v>155</v>
      </c>
    </row>
    <row r="217" spans="2:30" x14ac:dyDescent="0.2">
      <c r="E217" s="618" t="s">
        <v>229</v>
      </c>
      <c r="F217" s="654"/>
      <c r="G217" s="654"/>
      <c r="H217" s="655"/>
      <c r="I217" s="314"/>
      <c r="J217" s="330">
        <f>JAN!$AL$50</f>
        <v>0</v>
      </c>
      <c r="K217" s="330">
        <f>FEB!$AJ$50</f>
        <v>0</v>
      </c>
      <c r="L217" s="330">
        <f>MRZ!$AJ$50</f>
        <v>0</v>
      </c>
      <c r="M217" s="330">
        <f>APR!$AJ$50</f>
        <v>0</v>
      </c>
      <c r="N217" s="330">
        <f>MAI!$AJ$50</f>
        <v>0</v>
      </c>
      <c r="O217" s="330">
        <f>JUN!$AJ$50</f>
        <v>0</v>
      </c>
      <c r="P217" s="330">
        <f>JUL!$AJ$50</f>
        <v>0</v>
      </c>
      <c r="Q217" s="330">
        <f>AUG!$AJ$50</f>
        <v>0</v>
      </c>
      <c r="R217" s="330">
        <f>SEP!$AJ$50</f>
        <v>0</v>
      </c>
      <c r="S217" s="330">
        <f>OKT!$AJ$50</f>
        <v>0</v>
      </c>
      <c r="T217" s="330">
        <f>NOV!$AJ$50</f>
        <v>0</v>
      </c>
      <c r="U217" s="330">
        <f>DEZ!$AJ$50</f>
        <v>0</v>
      </c>
      <c r="V217" s="315">
        <f>SUM(J217:U217)</f>
        <v>0</v>
      </c>
      <c r="W217" s="314"/>
      <c r="X217" s="323" t="s">
        <v>230</v>
      </c>
      <c r="Y217" s="323"/>
    </row>
    <row r="218" spans="2:30" x14ac:dyDescent="0.2">
      <c r="E218" s="618" t="s">
        <v>231</v>
      </c>
      <c r="F218" s="654"/>
      <c r="G218" s="654"/>
      <c r="H218" s="655"/>
      <c r="I218" s="314"/>
      <c r="J218" s="330">
        <f>JAN!$AL$51</f>
        <v>0</v>
      </c>
      <c r="K218" s="330">
        <f>FEB!$AJ$51</f>
        <v>0</v>
      </c>
      <c r="L218" s="330">
        <f>MRZ!$AJ$51</f>
        <v>0</v>
      </c>
      <c r="M218" s="330">
        <f>APR!$AJ$51</f>
        <v>0</v>
      </c>
      <c r="N218" s="330">
        <f>MAI!$AJ$51</f>
        <v>0</v>
      </c>
      <c r="O218" s="330">
        <f>JUN!$AJ$51</f>
        <v>0</v>
      </c>
      <c r="P218" s="330">
        <f>JUL!$AJ$51</f>
        <v>0</v>
      </c>
      <c r="Q218" s="330">
        <f>AUG!$AJ$51</f>
        <v>0</v>
      </c>
      <c r="R218" s="330">
        <f>SEP!$AJ$51</f>
        <v>0</v>
      </c>
      <c r="S218" s="330">
        <f>OKT!$AJ$51</f>
        <v>0</v>
      </c>
      <c r="T218" s="330">
        <f>NOV!$AJ$51</f>
        <v>0</v>
      </c>
      <c r="U218" s="330">
        <f>DEZ!$AJ$51</f>
        <v>0</v>
      </c>
      <c r="V218" s="315">
        <f t="shared" ref="V218" si="28">SUM(J218:U218)</f>
        <v>0</v>
      </c>
      <c r="W218" s="314"/>
      <c r="X218" s="323" t="s">
        <v>232</v>
      </c>
      <c r="Y218" s="323"/>
    </row>
    <row r="219" spans="2:30" x14ac:dyDescent="0.2">
      <c r="E219" s="656"/>
      <c r="F219" s="657"/>
      <c r="G219" s="657"/>
      <c r="H219" s="658"/>
      <c r="I219" s="314"/>
      <c r="J219" s="314"/>
      <c r="K219" s="314"/>
      <c r="L219" s="314"/>
      <c r="M219" s="314"/>
      <c r="N219" s="314"/>
      <c r="O219" s="314"/>
      <c r="P219" s="314"/>
      <c r="Q219" s="314"/>
      <c r="R219" s="314"/>
      <c r="S219" s="314"/>
      <c r="T219" s="314"/>
      <c r="U219" s="314"/>
      <c r="V219" s="315"/>
      <c r="W219" s="314"/>
    </row>
    <row r="224" spans="2:30" ht="15.75" x14ac:dyDescent="0.2">
      <c r="B224" s="603" t="s">
        <v>572</v>
      </c>
      <c r="C224" s="603"/>
      <c r="D224" s="603"/>
      <c r="E224" s="603"/>
      <c r="F224" s="603"/>
      <c r="G224" s="603"/>
      <c r="H224" s="603"/>
      <c r="I224" s="603"/>
      <c r="J224" s="603"/>
      <c r="K224" s="603"/>
      <c r="L224" s="603"/>
      <c r="M224" s="603"/>
      <c r="N224" s="603"/>
      <c r="O224" s="603"/>
      <c r="P224" s="603"/>
      <c r="Q224" s="603"/>
      <c r="R224" s="603"/>
      <c r="S224" s="603"/>
      <c r="T224" s="603"/>
      <c r="U224" s="603"/>
    </row>
    <row r="225" spans="2:30" x14ac:dyDescent="0.2">
      <c r="B225" s="12" t="s">
        <v>573</v>
      </c>
    </row>
    <row r="227" spans="2:30" x14ac:dyDescent="0.2">
      <c r="E227" s="631"/>
      <c r="F227" s="632"/>
      <c r="G227" s="632"/>
      <c r="H227" s="633"/>
      <c r="I227" s="278"/>
      <c r="J227" s="278">
        <v>1</v>
      </c>
      <c r="K227" s="278">
        <v>2</v>
      </c>
      <c r="L227" s="278">
        <v>3</v>
      </c>
      <c r="M227" s="278">
        <v>4</v>
      </c>
      <c r="N227" s="278">
        <v>5</v>
      </c>
      <c r="O227" s="278">
        <v>6</v>
      </c>
      <c r="P227" s="278">
        <v>7</v>
      </c>
      <c r="Q227" s="278">
        <v>8</v>
      </c>
      <c r="R227" s="278">
        <v>9</v>
      </c>
      <c r="S227" s="278">
        <v>10</v>
      </c>
      <c r="T227" s="278">
        <v>11</v>
      </c>
      <c r="U227" s="278">
        <v>12</v>
      </c>
      <c r="V227" s="278"/>
      <c r="W227" s="278"/>
      <c r="X227" s="453"/>
      <c r="Y227" s="453"/>
      <c r="Z227" s="454"/>
      <c r="AA227" s="454" t="s">
        <v>512</v>
      </c>
      <c r="AB227" s="495"/>
      <c r="AD227" s="452" t="s">
        <v>115</v>
      </c>
    </row>
    <row r="228" spans="2:30" x14ac:dyDescent="0.2">
      <c r="E228" s="634"/>
      <c r="F228" s="635"/>
      <c r="G228" s="635"/>
      <c r="H228" s="636"/>
      <c r="I228" s="279" t="s">
        <v>153</v>
      </c>
      <c r="J228" s="279" t="s">
        <v>69</v>
      </c>
      <c r="K228" s="279" t="s">
        <v>70</v>
      </c>
      <c r="L228" s="279" t="s">
        <v>71</v>
      </c>
      <c r="M228" s="279" t="s">
        <v>72</v>
      </c>
      <c r="N228" s="279" t="s">
        <v>73</v>
      </c>
      <c r="O228" s="279" t="s">
        <v>74</v>
      </c>
      <c r="P228" s="279" t="s">
        <v>75</v>
      </c>
      <c r="Q228" s="279" t="s">
        <v>76</v>
      </c>
      <c r="R228" s="279" t="s">
        <v>77</v>
      </c>
      <c r="S228" s="279" t="s">
        <v>78</v>
      </c>
      <c r="T228" s="279" t="s">
        <v>79</v>
      </c>
      <c r="U228" s="279" t="s">
        <v>80</v>
      </c>
      <c r="V228" s="279" t="s">
        <v>552</v>
      </c>
      <c r="W228" s="279" t="s">
        <v>155</v>
      </c>
    </row>
    <row r="229" spans="2:30" x14ac:dyDescent="0.2">
      <c r="E229" s="615" t="s">
        <v>561</v>
      </c>
      <c r="F229" s="616"/>
      <c r="G229" s="616"/>
      <c r="H229" s="617"/>
      <c r="I229" s="314">
        <f>I$37</f>
        <v>0</v>
      </c>
      <c r="J229" s="314">
        <f>J$37</f>
        <v>184</v>
      </c>
      <c r="K229" s="314">
        <f t="shared" ref="K229:W229" si="29">K$37</f>
        <v>168</v>
      </c>
      <c r="L229" s="314">
        <f t="shared" si="29"/>
        <v>168</v>
      </c>
      <c r="M229" s="314">
        <f t="shared" si="29"/>
        <v>176</v>
      </c>
      <c r="N229" s="314">
        <f t="shared" si="29"/>
        <v>184</v>
      </c>
      <c r="O229" s="314">
        <f t="shared" si="29"/>
        <v>160</v>
      </c>
      <c r="P229" s="314">
        <f t="shared" si="29"/>
        <v>184</v>
      </c>
      <c r="Q229" s="314">
        <f t="shared" si="29"/>
        <v>176</v>
      </c>
      <c r="R229" s="314">
        <f t="shared" si="29"/>
        <v>168</v>
      </c>
      <c r="S229" s="314">
        <f t="shared" si="29"/>
        <v>184</v>
      </c>
      <c r="T229" s="314">
        <f t="shared" si="29"/>
        <v>168</v>
      </c>
      <c r="U229" s="314">
        <f t="shared" si="29"/>
        <v>176</v>
      </c>
      <c r="V229" s="315">
        <f t="shared" si="29"/>
        <v>2096</v>
      </c>
      <c r="W229" s="314">
        <f t="shared" si="29"/>
        <v>0</v>
      </c>
      <c r="AD229" s="313" t="s">
        <v>172</v>
      </c>
    </row>
    <row r="230" spans="2:30" x14ac:dyDescent="0.2">
      <c r="E230" s="618" t="s">
        <v>564</v>
      </c>
      <c r="F230" s="619"/>
      <c r="G230" s="619"/>
      <c r="H230" s="620"/>
      <c r="I230" s="314"/>
      <c r="J230" s="314">
        <f>JAN!$AM$19</f>
        <v>184</v>
      </c>
      <c r="K230" s="314">
        <f>FEB!$AM$19</f>
        <v>168</v>
      </c>
      <c r="L230" s="314">
        <f>MRZ!$AM$19</f>
        <v>168</v>
      </c>
      <c r="M230" s="314">
        <f>APR!$AM$19</f>
        <v>176</v>
      </c>
      <c r="N230" s="314">
        <f>MAI!$AM$19</f>
        <v>184</v>
      </c>
      <c r="O230" s="314">
        <f>JUN!$AM$19</f>
        <v>160</v>
      </c>
      <c r="P230" s="314">
        <f>JUL!$AM$19</f>
        <v>184</v>
      </c>
      <c r="Q230" s="314">
        <f>AUG!$AM$19</f>
        <v>176</v>
      </c>
      <c r="R230" s="314">
        <f>SEP!$AM$19</f>
        <v>168</v>
      </c>
      <c r="S230" s="314">
        <f>OKT!$AM$19</f>
        <v>184</v>
      </c>
      <c r="T230" s="314">
        <f>NOV!$AM$19</f>
        <v>168</v>
      </c>
      <c r="U230" s="314">
        <f>DEZ!$AM$19</f>
        <v>176</v>
      </c>
      <c r="V230" s="315">
        <f>SUM($J$60:$U$60)</f>
        <v>2096</v>
      </c>
      <c r="W230" s="314"/>
      <c r="Z230" s="37" t="s">
        <v>565</v>
      </c>
      <c r="AD230" s="313"/>
    </row>
    <row r="231" spans="2:30" x14ac:dyDescent="0.2">
      <c r="E231" s="615" t="s">
        <v>566</v>
      </c>
      <c r="F231" s="621"/>
      <c r="G231" s="621"/>
      <c r="H231" s="622"/>
      <c r="I231" s="314"/>
      <c r="J231" s="314">
        <f>-$J$60</f>
        <v>-184</v>
      </c>
      <c r="K231" s="314">
        <f>-$K$60</f>
        <v>-168</v>
      </c>
      <c r="L231" s="314">
        <f>-$L$60</f>
        <v>-168</v>
      </c>
      <c r="M231" s="314">
        <f>-$M$60</f>
        <v>-176</v>
      </c>
      <c r="N231" s="314">
        <f>-$N$60</f>
        <v>-184</v>
      </c>
      <c r="O231" s="314">
        <f>-$O$60</f>
        <v>-160</v>
      </c>
      <c r="P231" s="314">
        <f>-$P$60</f>
        <v>-184</v>
      </c>
      <c r="Q231" s="314">
        <f>-$Q$60</f>
        <v>-176</v>
      </c>
      <c r="R231" s="314">
        <f>-$R$60</f>
        <v>-168</v>
      </c>
      <c r="S231" s="314">
        <f>-$S$60</f>
        <v>-184</v>
      </c>
      <c r="T231" s="314">
        <f>-$T$60</f>
        <v>-168</v>
      </c>
      <c r="U231" s="314">
        <f>-$U$60</f>
        <v>-176</v>
      </c>
      <c r="V231" s="315">
        <f>SUM($J$61:$U$61)</f>
        <v>-2096</v>
      </c>
      <c r="W231" s="314"/>
      <c r="AA231" t="s">
        <v>517</v>
      </c>
    </row>
    <row r="232" spans="2:30" x14ac:dyDescent="0.2">
      <c r="E232" s="623" t="s">
        <v>567</v>
      </c>
      <c r="F232" s="624"/>
      <c r="G232" s="624"/>
      <c r="H232" s="625"/>
      <c r="I232" s="314">
        <f>IF(B_fldSaldoVJ&lt;=0,B_fldSaldoVJ,0)</f>
        <v>0</v>
      </c>
      <c r="J232" s="314">
        <f>$I$62+$J$61</f>
        <v>-184</v>
      </c>
      <c r="K232" s="314">
        <f>$J$62+$K$61</f>
        <v>-352</v>
      </c>
      <c r="L232" s="314">
        <f>$K$62+$L$61</f>
        <v>-520</v>
      </c>
      <c r="M232" s="314">
        <f>$L$62+$M$61</f>
        <v>-696</v>
      </c>
      <c r="N232" s="314">
        <f>$M$62+$N$61</f>
        <v>-880</v>
      </c>
      <c r="O232" s="314">
        <f>$N$62+$O$61</f>
        <v>-1040</v>
      </c>
      <c r="P232" s="314">
        <f>$O$62+$P$61</f>
        <v>-1224</v>
      </c>
      <c r="Q232" s="314">
        <f>$P$62+$Q$61</f>
        <v>-1400</v>
      </c>
      <c r="R232" s="314">
        <f>$Q$62+$R$61</f>
        <v>-1568</v>
      </c>
      <c r="S232" s="314">
        <f>$R$62+$S$61</f>
        <v>-1752</v>
      </c>
      <c r="T232" s="314">
        <f>$S$62+$T$61</f>
        <v>-1920</v>
      </c>
      <c r="U232" s="314">
        <f>$T$62+$U$61</f>
        <v>-2096</v>
      </c>
      <c r="V232" s="558">
        <f>$U$62</f>
        <v>-2096</v>
      </c>
      <c r="W232" s="314"/>
    </row>
  </sheetData>
  <sheetProtection algorithmName="SHA-512" hashValue="jVmEpOM4uciCxNWuaTSMYn8R116EX9SyokXLe16iZTqAQP/w6Q7gHEWIJey0VDSOikApLWydcqn0m4IoLfGHRQ==" saltValue="f/SEaj/mq4JhUR0H1P1UBg==" spinCount="100000" sheet="1" objects="1" scenarios="1"/>
  <mergeCells count="118">
    <mergeCell ref="B212:U212"/>
    <mergeCell ref="E215:H216"/>
    <mergeCell ref="E217:H217"/>
    <mergeCell ref="E218:H218"/>
    <mergeCell ref="E219:H219"/>
    <mergeCell ref="E80:H80"/>
    <mergeCell ref="E81:H81"/>
    <mergeCell ref="E82:H82"/>
    <mergeCell ref="E83:H83"/>
    <mergeCell ref="E92:H92"/>
    <mergeCell ref="E93:H93"/>
    <mergeCell ref="E94:H94"/>
    <mergeCell ref="E95:H95"/>
    <mergeCell ref="E96:H96"/>
    <mergeCell ref="E97:H97"/>
    <mergeCell ref="E124:H124"/>
    <mergeCell ref="E125:H125"/>
    <mergeCell ref="E127:H127"/>
    <mergeCell ref="E142:H142"/>
    <mergeCell ref="E143:H143"/>
    <mergeCell ref="E144:H144"/>
    <mergeCell ref="E145:H145"/>
    <mergeCell ref="E146:H146"/>
    <mergeCell ref="E162:H162"/>
    <mergeCell ref="E205:H205"/>
    <mergeCell ref="E206:H206"/>
    <mergeCell ref="E207:H207"/>
    <mergeCell ref="E199:H199"/>
    <mergeCell ref="E86:H87"/>
    <mergeCell ref="E61:H61"/>
    <mergeCell ref="E62:H62"/>
    <mergeCell ref="E91:H91"/>
    <mergeCell ref="E90:H90"/>
    <mergeCell ref="E135:H136"/>
    <mergeCell ref="E138:H138"/>
    <mergeCell ref="E139:H139"/>
    <mergeCell ref="E140:H140"/>
    <mergeCell ref="E141:H141"/>
    <mergeCell ref="E147:H147"/>
    <mergeCell ref="E148:H148"/>
    <mergeCell ref="E164:H164"/>
    <mergeCell ref="E181:H181"/>
    <mergeCell ref="E182:H182"/>
    <mergeCell ref="E193:H193"/>
    <mergeCell ref="E194:H194"/>
    <mergeCell ref="E195:H195"/>
    <mergeCell ref="E187:H188"/>
    <mergeCell ref="E189:H189"/>
    <mergeCell ref="E203:H204"/>
    <mergeCell ref="E191:H191"/>
    <mergeCell ref="E196:H196"/>
    <mergeCell ref="E197:H197"/>
    <mergeCell ref="E163:H163"/>
    <mergeCell ref="E176:H177"/>
    <mergeCell ref="E178:H178"/>
    <mergeCell ref="E179:H179"/>
    <mergeCell ref="E180:H180"/>
    <mergeCell ref="E169:H170"/>
    <mergeCell ref="E171:H171"/>
    <mergeCell ref="E165:H165"/>
    <mergeCell ref="E172:H172"/>
    <mergeCell ref="E190:H190"/>
    <mergeCell ref="E192:H192"/>
    <mergeCell ref="E198:H198"/>
    <mergeCell ref="E77:H77"/>
    <mergeCell ref="E75:H76"/>
    <mergeCell ref="E78:H78"/>
    <mergeCell ref="E79:H79"/>
    <mergeCell ref="B41:U41"/>
    <mergeCell ref="B132:U132"/>
    <mergeCell ref="E158:H159"/>
    <mergeCell ref="E160:H160"/>
    <mergeCell ref="E161:H161"/>
    <mergeCell ref="E149:H149"/>
    <mergeCell ref="E150:H150"/>
    <mergeCell ref="E151:H151"/>
    <mergeCell ref="E137:H137"/>
    <mergeCell ref="E51:H51"/>
    <mergeCell ref="E119:H120"/>
    <mergeCell ref="E121:H121"/>
    <mergeCell ref="E122:H122"/>
    <mergeCell ref="E123:H123"/>
    <mergeCell ref="E126:H126"/>
    <mergeCell ref="B116:U116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229:H229"/>
    <mergeCell ref="E230:H230"/>
    <mergeCell ref="E231:H231"/>
    <mergeCell ref="E232:H232"/>
    <mergeCell ref="E29:H29"/>
    <mergeCell ref="E30:H30"/>
    <mergeCell ref="E31:H31"/>
    <mergeCell ref="E32:H32"/>
    <mergeCell ref="E33:H33"/>
    <mergeCell ref="E34:H34"/>
    <mergeCell ref="E35:H35"/>
    <mergeCell ref="B224:U224"/>
    <mergeCell ref="E227:H228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</mergeCells>
  <phoneticPr fontId="67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h03kw">
    <tabColor theme="0" tint="-4.9989318521683403E-2"/>
  </sheetPr>
  <dimension ref="C2:BL20"/>
  <sheetViews>
    <sheetView zoomScale="80" zoomScaleNormal="80" workbookViewId="0">
      <selection activeCell="K13" sqref="K13:M13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17" customWidth="1"/>
    <col min="58" max="58" width="5.28515625" style="317" bestFit="1" customWidth="1"/>
    <col min="59" max="62" width="5.140625" style="317" customWidth="1"/>
    <col min="63" max="64" width="3.5703125" style="317"/>
  </cols>
  <sheetData>
    <row r="2" spans="3:62" s="244" customFormat="1" ht="32.1" customHeight="1" x14ac:dyDescent="0.2">
      <c r="C2" s="244" t="s">
        <v>233</v>
      </c>
      <c r="BE2" s="316"/>
      <c r="BF2" s="316"/>
      <c r="BG2" s="316"/>
      <c r="BH2" s="316"/>
      <c r="BI2" s="316"/>
      <c r="BJ2" s="316"/>
    </row>
    <row r="3" spans="3:62" ht="15.6" customHeight="1" x14ac:dyDescent="0.2"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</row>
    <row r="4" spans="3:62" x14ac:dyDescent="0.2"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8" spans="3:62" ht="15.75" x14ac:dyDescent="0.2">
      <c r="C8" s="603" t="s">
        <v>234</v>
      </c>
      <c r="D8" s="603"/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3"/>
      <c r="P8" s="603"/>
      <c r="Q8" s="603"/>
      <c r="R8" s="603"/>
      <c r="S8" s="603"/>
      <c r="T8" s="603"/>
      <c r="U8" s="603"/>
    </row>
    <row r="10" spans="3:62" x14ac:dyDescent="0.2">
      <c r="C10" s="670" t="s">
        <v>235</v>
      </c>
      <c r="D10" s="670"/>
      <c r="E10" s="670"/>
      <c r="F10" s="281">
        <v>1</v>
      </c>
      <c r="G10" s="281">
        <v>1</v>
      </c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318">
        <v>12</v>
      </c>
      <c r="BH10" s="318">
        <v>12</v>
      </c>
      <c r="BI10" s="672"/>
      <c r="BJ10" s="672"/>
    </row>
    <row r="11" spans="3:62" s="38" customFormat="1" x14ac:dyDescent="0.2">
      <c r="C11" s="669" t="s">
        <v>236</v>
      </c>
      <c r="D11" s="669"/>
      <c r="E11" s="669"/>
      <c r="F11" s="282">
        <v>53</v>
      </c>
      <c r="G11" s="282">
        <v>1</v>
      </c>
      <c r="H11" s="282">
        <v>2</v>
      </c>
      <c r="I11" s="282">
        <v>3</v>
      </c>
      <c r="J11" s="282">
        <v>4</v>
      </c>
      <c r="K11" s="282">
        <v>5</v>
      </c>
      <c r="L11" s="282">
        <v>6</v>
      </c>
      <c r="M11" s="282">
        <v>7</v>
      </c>
      <c r="N11" s="282">
        <v>8</v>
      </c>
      <c r="O11" s="282">
        <v>9</v>
      </c>
      <c r="P11" s="282">
        <v>10</v>
      </c>
      <c r="Q11" s="282">
        <v>11</v>
      </c>
      <c r="R11" s="282">
        <v>12</v>
      </c>
      <c r="S11" s="282">
        <v>13</v>
      </c>
      <c r="T11" s="282">
        <v>14</v>
      </c>
      <c r="U11" s="282">
        <v>15</v>
      </c>
      <c r="V11" s="282">
        <v>16</v>
      </c>
      <c r="W11" s="282">
        <v>17</v>
      </c>
      <c r="X11" s="282">
        <v>18</v>
      </c>
      <c r="Y11" s="282">
        <v>19</v>
      </c>
      <c r="Z11" s="282">
        <v>20</v>
      </c>
      <c r="AA11" s="282">
        <v>21</v>
      </c>
      <c r="AB11" s="282">
        <v>22</v>
      </c>
      <c r="AC11" s="282">
        <v>23</v>
      </c>
      <c r="AD11" s="282">
        <v>24</v>
      </c>
      <c r="AE11" s="282">
        <v>25</v>
      </c>
      <c r="AF11" s="282">
        <v>26</v>
      </c>
      <c r="AG11" s="282">
        <v>27</v>
      </c>
      <c r="AH11" s="282">
        <v>28</v>
      </c>
      <c r="AI11" s="282">
        <v>29</v>
      </c>
      <c r="AJ11" s="282">
        <v>30</v>
      </c>
      <c r="AK11" s="282">
        <v>31</v>
      </c>
      <c r="AL11" s="282">
        <v>32</v>
      </c>
      <c r="AM11" s="282">
        <v>33</v>
      </c>
      <c r="AN11" s="282">
        <v>34</v>
      </c>
      <c r="AO11" s="282">
        <v>35</v>
      </c>
      <c r="AP11" s="282">
        <v>36</v>
      </c>
      <c r="AQ11" s="282">
        <v>37</v>
      </c>
      <c r="AR11" s="282">
        <v>38</v>
      </c>
      <c r="AS11" s="282">
        <v>39</v>
      </c>
      <c r="AT11" s="282">
        <v>40</v>
      </c>
      <c r="AU11" s="282">
        <v>41</v>
      </c>
      <c r="AV11" s="282">
        <v>42</v>
      </c>
      <c r="AW11" s="282">
        <v>43</v>
      </c>
      <c r="AX11" s="282">
        <v>44</v>
      </c>
      <c r="AY11" s="282">
        <v>45</v>
      </c>
      <c r="AZ11" s="282">
        <v>46</v>
      </c>
      <c r="BA11" s="282">
        <v>47</v>
      </c>
      <c r="BB11" s="282">
        <v>48</v>
      </c>
      <c r="BC11" s="282">
        <v>49</v>
      </c>
      <c r="BD11" s="282">
        <v>50</v>
      </c>
      <c r="BE11" s="282">
        <v>51</v>
      </c>
      <c r="BF11" s="282">
        <v>52</v>
      </c>
      <c r="BG11" s="282">
        <v>53</v>
      </c>
      <c r="BH11" s="282">
        <v>1</v>
      </c>
      <c r="BI11" s="673" t="s">
        <v>154</v>
      </c>
      <c r="BJ11" s="673"/>
    </row>
    <row r="12" spans="3:62" s="234" customFormat="1" ht="15.95" customHeight="1" x14ac:dyDescent="0.2">
      <c r="C12" s="671" t="s">
        <v>237</v>
      </c>
      <c r="D12" s="671"/>
      <c r="E12" s="671"/>
      <c r="F12" s="283" cm="1">
        <f t="array" ref="F12">SUMPRODUCT((H_dMnt=F$10)*(H_dKW=F$11)*H_dSoll100)</f>
        <v>0</v>
      </c>
      <c r="G12" s="283" cm="1">
        <f t="array" ref="G12">SUMPRODUCT((H_dMnt=G$10)*(H_dKW=G$11)*H_dSoll100)</f>
        <v>40</v>
      </c>
      <c r="H12" s="283">
        <f>SUMIF(H_dKW,H_KW!H$11,H_dSoll100)</f>
        <v>40</v>
      </c>
      <c r="I12" s="283">
        <f>SUMIF(H_dKW,H_KW!I$11,H_dSoll100)</f>
        <v>40</v>
      </c>
      <c r="J12" s="283">
        <f>SUMIF(H_dKW,H_KW!J$11,H_dSoll100)</f>
        <v>40</v>
      </c>
      <c r="K12" s="283">
        <f>SUMIF(H_dKW,H_KW!K$11,H_dSoll100)</f>
        <v>40</v>
      </c>
      <c r="L12" s="283">
        <f>SUMIF(H_dKW,H_KW!L$11,H_dSoll100)</f>
        <v>40</v>
      </c>
      <c r="M12" s="283">
        <f>SUMIF(H_dKW,H_KW!M$11,H_dSoll100)</f>
        <v>40</v>
      </c>
      <c r="N12" s="283">
        <f>SUMIF(H_dKW,H_KW!N$11,H_dSoll100)</f>
        <v>40</v>
      </c>
      <c r="O12" s="283">
        <f>SUMIF(H_dKW,H_KW!O$11,H_dSoll100)</f>
        <v>40</v>
      </c>
      <c r="P12" s="283">
        <f>SUMIF(H_dKW,H_KW!P$11,H_dSoll100)</f>
        <v>40</v>
      </c>
      <c r="Q12" s="283">
        <f>SUMIF(H_dKW,H_KW!Q$11,H_dSoll100)</f>
        <v>40</v>
      </c>
      <c r="R12" s="283">
        <f>SUMIF(H_dKW,H_KW!R$11,H_dSoll100)</f>
        <v>40</v>
      </c>
      <c r="S12" s="283">
        <f>SUMIF(H_dKW,H_KW!S$11,H_dSoll100)</f>
        <v>40</v>
      </c>
      <c r="T12" s="283">
        <f>SUMIF(H_dKW,H_KW!T$11,H_dSoll100)</f>
        <v>40</v>
      </c>
      <c r="U12" s="283">
        <f>SUMIF(H_dKW,H_KW!U$11,H_dSoll100)</f>
        <v>40</v>
      </c>
      <c r="V12" s="283">
        <f>SUMIF(H_dKW,H_KW!V$11,H_dSoll100)</f>
        <v>40</v>
      </c>
      <c r="W12" s="283">
        <f>SUMIF(H_dKW,H_KW!W$11,H_dSoll100)</f>
        <v>40</v>
      </c>
      <c r="X12" s="283">
        <f>SUMIF(H_dKW,H_KW!X$11,H_dSoll100)</f>
        <v>40</v>
      </c>
      <c r="Y12" s="283">
        <f>SUMIF(H_dKW,H_KW!Y$11,H_dSoll100)</f>
        <v>40</v>
      </c>
      <c r="Z12" s="283">
        <f>SUMIF(H_dKW,H_KW!Z$11,H_dSoll100)</f>
        <v>40</v>
      </c>
      <c r="AA12" s="283">
        <f>SUMIF(H_dKW,H_KW!AA$11,H_dSoll100)</f>
        <v>40</v>
      </c>
      <c r="AB12" s="283">
        <f>SUMIF(H_dKW,H_KW!AB$11,H_dSoll100)</f>
        <v>40</v>
      </c>
      <c r="AC12" s="283">
        <f>SUMIF(H_dKW,H_KW!AC$11,H_dSoll100)</f>
        <v>40</v>
      </c>
      <c r="AD12" s="283">
        <f>SUMIF(H_dKW,H_KW!AD$11,H_dSoll100)</f>
        <v>40</v>
      </c>
      <c r="AE12" s="283">
        <f>SUMIF(H_dKW,H_KW!AE$11,H_dSoll100)</f>
        <v>40</v>
      </c>
      <c r="AF12" s="283">
        <f>SUMIF(H_dKW,H_KW!AF$11,H_dSoll100)</f>
        <v>40</v>
      </c>
      <c r="AG12" s="283">
        <f>SUMIF(H_dKW,H_KW!AG$11,H_dSoll100)</f>
        <v>40</v>
      </c>
      <c r="AH12" s="283">
        <f>SUMIF(H_dKW,H_KW!AH$11,H_dSoll100)</f>
        <v>40</v>
      </c>
      <c r="AI12" s="283">
        <f>SUMIF(H_dKW,H_KW!AI$11,H_dSoll100)</f>
        <v>40</v>
      </c>
      <c r="AJ12" s="283">
        <f>SUMIF(H_dKW,H_KW!AJ$11,H_dSoll100)</f>
        <v>40</v>
      </c>
      <c r="AK12" s="283">
        <f>SUMIF(H_dKW,H_KW!AK$11,H_dSoll100)</f>
        <v>40</v>
      </c>
      <c r="AL12" s="283">
        <f>SUMIF(H_dKW,H_KW!AL$11,H_dSoll100)</f>
        <v>40</v>
      </c>
      <c r="AM12" s="283">
        <f>SUMIF(H_dKW,H_KW!AM$11,H_dSoll100)</f>
        <v>40</v>
      </c>
      <c r="AN12" s="283">
        <f>SUMIF(H_dKW,H_KW!AN$11,H_dSoll100)</f>
        <v>40</v>
      </c>
      <c r="AO12" s="283">
        <f>SUMIF(H_dKW,H_KW!AO$11,H_dSoll100)</f>
        <v>40</v>
      </c>
      <c r="AP12" s="283">
        <f>SUMIF(H_dKW,H_KW!AP$11,H_dSoll100)</f>
        <v>40</v>
      </c>
      <c r="AQ12" s="283">
        <f>SUMIF(H_dKW,H_KW!AQ$11,H_dSoll100)</f>
        <v>40</v>
      </c>
      <c r="AR12" s="283">
        <f>SUMIF(H_dKW,H_KW!AR$11,H_dSoll100)</f>
        <v>40</v>
      </c>
      <c r="AS12" s="283">
        <f>SUMIF(H_dKW,H_KW!AS$11,H_dSoll100)</f>
        <v>40</v>
      </c>
      <c r="AT12" s="283">
        <f>SUMIF(H_dKW,H_KW!AT$11,H_dSoll100)</f>
        <v>40</v>
      </c>
      <c r="AU12" s="283">
        <f>SUMIF(H_dKW,H_KW!AU$11,H_dSoll100)</f>
        <v>40</v>
      </c>
      <c r="AV12" s="283">
        <f>SUMIF(H_dKW,H_KW!AV$11,H_dSoll100)</f>
        <v>40</v>
      </c>
      <c r="AW12" s="283">
        <f>SUMIF(H_dKW,H_KW!AW$11,H_dSoll100)</f>
        <v>40</v>
      </c>
      <c r="AX12" s="283">
        <f>SUMIF(H_dKW,H_KW!AX$11,H_dSoll100)</f>
        <v>40</v>
      </c>
      <c r="AY12" s="283">
        <f>SUMIF(H_dKW,H_KW!AY$11,H_dSoll100)</f>
        <v>40</v>
      </c>
      <c r="AZ12" s="283">
        <f>SUMIF(H_dKW,H_KW!AZ$11,H_dSoll100)</f>
        <v>40</v>
      </c>
      <c r="BA12" s="283">
        <f>SUMIF(H_dKW,H_KW!BA$11,H_dSoll100)</f>
        <v>40</v>
      </c>
      <c r="BB12" s="283">
        <f>SUMIF(H_dKW,H_KW!BB$11,H_dSoll100)</f>
        <v>40</v>
      </c>
      <c r="BC12" s="283">
        <f>SUMIF(H_dKW,H_KW!BC$11,H_dSoll100)</f>
        <v>40</v>
      </c>
      <c r="BD12" s="283">
        <f>SUMIF(H_dKW,H_KW!BD$11,H_dSoll100)</f>
        <v>40</v>
      </c>
      <c r="BE12" s="283">
        <f>SUMIF(H_dKW,H_KW!BE$11,H_dSoll100)</f>
        <v>40</v>
      </c>
      <c r="BF12" s="283">
        <f>SUMIF(H_dKW,H_KW!BF$11,H_dSoll100)</f>
        <v>40</v>
      </c>
      <c r="BG12" s="283" cm="1">
        <f t="array" ref="BG12">SUMPRODUCT((H_dMnt=BG$10)*(H_dKW=BG$11)*H_dSoll100)</f>
        <v>0</v>
      </c>
      <c r="BH12" s="283" cm="1">
        <f t="array" ref="BH12">SUMPRODUCT((H_dMnt=BH$10)*(H_dKW=BH$11)*H_dSoll100)</f>
        <v>16</v>
      </c>
      <c r="BI12" s="674">
        <f>SUM(F12:BH12)</f>
        <v>2096</v>
      </c>
      <c r="BJ12" s="674"/>
    </row>
    <row r="13" spans="3:62" s="234" customFormat="1" ht="15.95" customHeight="1" x14ac:dyDescent="0.2">
      <c r="C13" s="671" t="s">
        <v>238</v>
      </c>
      <c r="D13" s="671"/>
      <c r="E13" s="671"/>
      <c r="F13" s="283" cm="1">
        <f t="array" ref="F13">SUMPRODUCT((H_dMnt=F$10)*(H_dKW=F$11)*H_dSollBG)</f>
        <v>0</v>
      </c>
      <c r="G13" s="283" cm="1">
        <f t="array" ref="G13">SUMPRODUCT((H_dMnt=G$10)*(H_dKW=G$11)*H_dSollBG)</f>
        <v>40</v>
      </c>
      <c r="H13" s="283">
        <f>SUMIF(H_dKW,H_KW!H$11,H_dSollBG)</f>
        <v>40</v>
      </c>
      <c r="I13" s="283">
        <f>SUMIF(H_dKW,H_KW!I$11,H_dSollBG)</f>
        <v>40</v>
      </c>
      <c r="J13" s="283">
        <f>SUMIF(H_dKW,H_KW!J$11,H_dSollBG)</f>
        <v>40</v>
      </c>
      <c r="K13" s="283">
        <f>SUMIF(H_dKW,H_KW!K$11,H_dSollBG)</f>
        <v>40</v>
      </c>
      <c r="L13" s="283">
        <f>SUMIF(H_dKW,H_KW!L$11,H_dSollBG)</f>
        <v>40</v>
      </c>
      <c r="M13" s="283">
        <f>SUMIF(H_dKW,H_KW!M$11,H_dSollBG)</f>
        <v>40</v>
      </c>
      <c r="N13" s="283">
        <f>SUMIF(H_dKW,H_KW!N$11,H_dSollBG)</f>
        <v>40</v>
      </c>
      <c r="O13" s="283">
        <f>SUMIF(H_dKW,H_KW!O$11,H_dSollBG)</f>
        <v>40</v>
      </c>
      <c r="P13" s="283">
        <f>SUMIF(H_dKW,H_KW!P$11,H_dSollBG)</f>
        <v>40</v>
      </c>
      <c r="Q13" s="283">
        <f>SUMIF(H_dKW,H_KW!Q$11,H_dSollBG)</f>
        <v>40</v>
      </c>
      <c r="R13" s="283">
        <f>SUMIF(H_dKW,H_KW!R$11,H_dSollBG)</f>
        <v>40</v>
      </c>
      <c r="S13" s="283">
        <f>SUMIF(H_dKW,H_KW!S$11,H_dSollBG)</f>
        <v>40</v>
      </c>
      <c r="T13" s="283">
        <f>SUMIF(H_dKW,H_KW!T$11,H_dSollBG)</f>
        <v>40</v>
      </c>
      <c r="U13" s="283">
        <f>SUMIF(H_dKW,H_KW!U$11,H_dSollBG)</f>
        <v>40</v>
      </c>
      <c r="V13" s="283">
        <f>SUMIF(H_dKW,H_KW!V$11,H_dSollBG)</f>
        <v>40</v>
      </c>
      <c r="W13" s="283">
        <f>SUMIF(H_dKW,H_KW!W$11,H_dSollBG)</f>
        <v>40</v>
      </c>
      <c r="X13" s="283">
        <f>SUMIF(H_dKW,H_KW!X$11,H_dSollBG)</f>
        <v>40</v>
      </c>
      <c r="Y13" s="283">
        <f>SUMIF(H_dKW,H_KW!Y$11,H_dSollBG)</f>
        <v>40</v>
      </c>
      <c r="Z13" s="283">
        <f>SUMIF(H_dKW,H_KW!Z$11,H_dSollBG)</f>
        <v>40</v>
      </c>
      <c r="AA13" s="283">
        <f>SUMIF(H_dKW,H_KW!AA$11,H_dSollBG)</f>
        <v>40</v>
      </c>
      <c r="AB13" s="283">
        <f>SUMIF(H_dKW,H_KW!AB$11,H_dSollBG)</f>
        <v>40</v>
      </c>
      <c r="AC13" s="283">
        <f>SUMIF(H_dKW,H_KW!AC$11,H_dSollBG)</f>
        <v>40</v>
      </c>
      <c r="AD13" s="283">
        <f>SUMIF(H_dKW,H_KW!AD$11,H_dSollBG)</f>
        <v>40</v>
      </c>
      <c r="AE13" s="283">
        <f>SUMIF(H_dKW,H_KW!AE$11,H_dSollBG)</f>
        <v>40</v>
      </c>
      <c r="AF13" s="283">
        <f>SUMIF(H_dKW,H_KW!AF$11,H_dSollBG)</f>
        <v>40</v>
      </c>
      <c r="AG13" s="283">
        <f>SUMIF(H_dKW,H_KW!AG$11,H_dSollBG)</f>
        <v>40</v>
      </c>
      <c r="AH13" s="283">
        <f>SUMIF(H_dKW,H_KW!AH$11,H_dSollBG)</f>
        <v>40</v>
      </c>
      <c r="AI13" s="283">
        <f>SUMIF(H_dKW,H_KW!AI$11,H_dSollBG)</f>
        <v>40</v>
      </c>
      <c r="AJ13" s="283">
        <f>SUMIF(H_dKW,H_KW!AJ$11,H_dSollBG)</f>
        <v>40</v>
      </c>
      <c r="AK13" s="283">
        <f>SUMIF(H_dKW,H_KW!AK$11,H_dSollBG)</f>
        <v>40</v>
      </c>
      <c r="AL13" s="283">
        <f>SUMIF(H_dKW,H_KW!AL$11,H_dSollBG)</f>
        <v>40</v>
      </c>
      <c r="AM13" s="283">
        <f>SUMIF(H_dKW,H_KW!AM$11,H_dSollBG)</f>
        <v>40</v>
      </c>
      <c r="AN13" s="283">
        <f>SUMIF(H_dKW,H_KW!AN$11,H_dSollBG)</f>
        <v>40</v>
      </c>
      <c r="AO13" s="283">
        <f>SUMIF(H_dKW,H_KW!AO$11,H_dSollBG)</f>
        <v>40</v>
      </c>
      <c r="AP13" s="283">
        <f>SUMIF(H_dKW,H_KW!AP$11,H_dSollBG)</f>
        <v>40</v>
      </c>
      <c r="AQ13" s="283">
        <f>SUMIF(H_dKW,H_KW!AQ$11,H_dSollBG)</f>
        <v>40</v>
      </c>
      <c r="AR13" s="283">
        <f>SUMIF(H_dKW,H_KW!AR$11,H_dSollBG)</f>
        <v>40</v>
      </c>
      <c r="AS13" s="283">
        <f>SUMIF(H_dKW,H_KW!AS$11,H_dSollBG)</f>
        <v>40</v>
      </c>
      <c r="AT13" s="283">
        <f>SUMIF(H_dKW,H_KW!AT$11,H_dSollBG)</f>
        <v>40</v>
      </c>
      <c r="AU13" s="283">
        <f>SUMIF(H_dKW,H_KW!AU$11,H_dSollBG)</f>
        <v>40</v>
      </c>
      <c r="AV13" s="283">
        <f>SUMIF(H_dKW,H_KW!AV$11,H_dSollBG)</f>
        <v>40</v>
      </c>
      <c r="AW13" s="283">
        <f>SUMIF(H_dKW,H_KW!AW$11,H_dSollBG)</f>
        <v>40</v>
      </c>
      <c r="AX13" s="283">
        <f>SUMIF(H_dKW,H_KW!AX$11,H_dSollBG)</f>
        <v>40</v>
      </c>
      <c r="AY13" s="283">
        <f>SUMIF(H_dKW,H_KW!AY$11,H_dSollBG)</f>
        <v>40</v>
      </c>
      <c r="AZ13" s="283">
        <f>SUMIF(H_dKW,H_KW!AZ$11,H_dSollBG)</f>
        <v>40</v>
      </c>
      <c r="BA13" s="283">
        <f>SUMIF(H_dKW,H_KW!BA$11,H_dSollBG)</f>
        <v>40</v>
      </c>
      <c r="BB13" s="283">
        <f>SUMIF(H_dKW,H_KW!BB$11,H_dSollBG)</f>
        <v>40</v>
      </c>
      <c r="BC13" s="283">
        <f>SUMIF(H_dKW,H_KW!BC$11,H_dSollBG)</f>
        <v>40</v>
      </c>
      <c r="BD13" s="283">
        <f>SUMIF(H_dKW,H_KW!BD$11,H_dSollBG)</f>
        <v>40</v>
      </c>
      <c r="BE13" s="283">
        <f>SUMIF(H_dKW,H_KW!BE$11,H_dSollBG)</f>
        <v>40</v>
      </c>
      <c r="BF13" s="283">
        <f>SUMIF(H_dKW,H_KW!BF$11,H_dSollBG)</f>
        <v>40</v>
      </c>
      <c r="BG13" s="283" cm="1">
        <f t="array" ref="BG13">SUMPRODUCT((H_dMnt=BG$10)*(H_dKW=BG$11)*H_dSollBG)</f>
        <v>0</v>
      </c>
      <c r="BH13" s="283" cm="1">
        <f t="array" ref="BH13">SUMPRODUCT((H_dMnt=BH$10)*(H_dKW=BH$11)*H_dSollBG)</f>
        <v>16</v>
      </c>
      <c r="BI13" s="674">
        <f t="shared" ref="BI13:BI18" si="0">SUM(F13:BH13)</f>
        <v>2096</v>
      </c>
      <c r="BJ13" s="674"/>
    </row>
    <row r="14" spans="3:62" s="235" customFormat="1" ht="15.95" customHeight="1" x14ac:dyDescent="0.2">
      <c r="C14" s="671" t="s">
        <v>239</v>
      </c>
      <c r="D14" s="671"/>
      <c r="E14" s="671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3"/>
      <c r="AY14" s="283"/>
      <c r="AZ14" s="283"/>
      <c r="BA14" s="283"/>
      <c r="BB14" s="283"/>
      <c r="BC14" s="283"/>
      <c r="BD14" s="283"/>
      <c r="BE14" s="283"/>
      <c r="BF14" s="283"/>
      <c r="BG14" s="283"/>
      <c r="BH14" s="283"/>
      <c r="BI14" s="675">
        <f t="shared" si="0"/>
        <v>0</v>
      </c>
      <c r="BJ14" s="675"/>
    </row>
    <row r="15" spans="3:62" s="235" customFormat="1" ht="15.95" customHeight="1" x14ac:dyDescent="0.2">
      <c r="C15" s="671" t="s">
        <v>159</v>
      </c>
      <c r="D15" s="671"/>
      <c r="E15" s="671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  <c r="AV15" s="283"/>
      <c r="AW15" s="283"/>
      <c r="AX15" s="283"/>
      <c r="AY15" s="283"/>
      <c r="AZ15" s="283"/>
      <c r="BA15" s="283"/>
      <c r="BB15" s="283"/>
      <c r="BC15" s="283"/>
      <c r="BD15" s="283"/>
      <c r="BE15" s="283"/>
      <c r="BF15" s="283"/>
      <c r="BG15" s="283"/>
      <c r="BH15" s="283"/>
      <c r="BI15" s="675">
        <f t="shared" si="0"/>
        <v>0</v>
      </c>
      <c r="BJ15" s="675"/>
    </row>
    <row r="16" spans="3:62" s="235" customFormat="1" ht="15.95" customHeight="1" x14ac:dyDescent="0.2">
      <c r="C16" s="671" t="s">
        <v>240</v>
      </c>
      <c r="D16" s="671"/>
      <c r="E16" s="671"/>
      <c r="F16" s="283">
        <f>SUM(F14:F15)</f>
        <v>0</v>
      </c>
      <c r="G16" s="283">
        <f t="shared" ref="G16:BH16" si="1">SUM(G14:G15)</f>
        <v>0</v>
      </c>
      <c r="H16" s="283">
        <f t="shared" si="1"/>
        <v>0</v>
      </c>
      <c r="I16" s="283">
        <f t="shared" si="1"/>
        <v>0</v>
      </c>
      <c r="J16" s="283">
        <f t="shared" si="1"/>
        <v>0</v>
      </c>
      <c r="K16" s="283">
        <f t="shared" si="1"/>
        <v>0</v>
      </c>
      <c r="L16" s="283">
        <f t="shared" si="1"/>
        <v>0</v>
      </c>
      <c r="M16" s="283">
        <f t="shared" si="1"/>
        <v>0</v>
      </c>
      <c r="N16" s="283">
        <f t="shared" si="1"/>
        <v>0</v>
      </c>
      <c r="O16" s="283">
        <f t="shared" si="1"/>
        <v>0</v>
      </c>
      <c r="P16" s="283">
        <f t="shared" si="1"/>
        <v>0</v>
      </c>
      <c r="Q16" s="283">
        <f t="shared" si="1"/>
        <v>0</v>
      </c>
      <c r="R16" s="283">
        <f t="shared" si="1"/>
        <v>0</v>
      </c>
      <c r="S16" s="283">
        <f t="shared" si="1"/>
        <v>0</v>
      </c>
      <c r="T16" s="283">
        <f t="shared" si="1"/>
        <v>0</v>
      </c>
      <c r="U16" s="283">
        <f t="shared" si="1"/>
        <v>0</v>
      </c>
      <c r="V16" s="283">
        <f t="shared" si="1"/>
        <v>0</v>
      </c>
      <c r="W16" s="283">
        <f t="shared" si="1"/>
        <v>0</v>
      </c>
      <c r="X16" s="283">
        <f t="shared" si="1"/>
        <v>0</v>
      </c>
      <c r="Y16" s="283">
        <f t="shared" si="1"/>
        <v>0</v>
      </c>
      <c r="Z16" s="283">
        <f t="shared" si="1"/>
        <v>0</v>
      </c>
      <c r="AA16" s="283">
        <f t="shared" si="1"/>
        <v>0</v>
      </c>
      <c r="AB16" s="283">
        <f t="shared" si="1"/>
        <v>0</v>
      </c>
      <c r="AC16" s="283">
        <f t="shared" si="1"/>
        <v>0</v>
      </c>
      <c r="AD16" s="283">
        <f t="shared" si="1"/>
        <v>0</v>
      </c>
      <c r="AE16" s="283">
        <f t="shared" si="1"/>
        <v>0</v>
      </c>
      <c r="AF16" s="283">
        <f t="shared" si="1"/>
        <v>0</v>
      </c>
      <c r="AG16" s="283">
        <f t="shared" si="1"/>
        <v>0</v>
      </c>
      <c r="AH16" s="283">
        <f t="shared" si="1"/>
        <v>0</v>
      </c>
      <c r="AI16" s="283">
        <f t="shared" si="1"/>
        <v>0</v>
      </c>
      <c r="AJ16" s="283">
        <f t="shared" si="1"/>
        <v>0</v>
      </c>
      <c r="AK16" s="283">
        <f t="shared" si="1"/>
        <v>0</v>
      </c>
      <c r="AL16" s="283">
        <f t="shared" si="1"/>
        <v>0</v>
      </c>
      <c r="AM16" s="283">
        <f t="shared" si="1"/>
        <v>0</v>
      </c>
      <c r="AN16" s="283">
        <f t="shared" si="1"/>
        <v>0</v>
      </c>
      <c r="AO16" s="283">
        <f t="shared" si="1"/>
        <v>0</v>
      </c>
      <c r="AP16" s="283">
        <f t="shared" si="1"/>
        <v>0</v>
      </c>
      <c r="AQ16" s="283">
        <f t="shared" si="1"/>
        <v>0</v>
      </c>
      <c r="AR16" s="283">
        <f t="shared" si="1"/>
        <v>0</v>
      </c>
      <c r="AS16" s="283">
        <f t="shared" si="1"/>
        <v>0</v>
      </c>
      <c r="AT16" s="283">
        <f t="shared" si="1"/>
        <v>0</v>
      </c>
      <c r="AU16" s="283">
        <f t="shared" si="1"/>
        <v>0</v>
      </c>
      <c r="AV16" s="283">
        <f t="shared" si="1"/>
        <v>0</v>
      </c>
      <c r="AW16" s="283">
        <f t="shared" si="1"/>
        <v>0</v>
      </c>
      <c r="AX16" s="283">
        <f t="shared" si="1"/>
        <v>0</v>
      </c>
      <c r="AY16" s="283">
        <f t="shared" si="1"/>
        <v>0</v>
      </c>
      <c r="AZ16" s="283">
        <f t="shared" si="1"/>
        <v>0</v>
      </c>
      <c r="BA16" s="283">
        <f t="shared" si="1"/>
        <v>0</v>
      </c>
      <c r="BB16" s="283">
        <f t="shared" si="1"/>
        <v>0</v>
      </c>
      <c r="BC16" s="283">
        <f t="shared" si="1"/>
        <v>0</v>
      </c>
      <c r="BD16" s="283">
        <f t="shared" si="1"/>
        <v>0</v>
      </c>
      <c r="BE16" s="283">
        <f t="shared" si="1"/>
        <v>0</v>
      </c>
      <c r="BF16" s="283">
        <f t="shared" si="1"/>
        <v>0</v>
      </c>
      <c r="BG16" s="283">
        <f t="shared" si="1"/>
        <v>0</v>
      </c>
      <c r="BH16" s="283">
        <f t="shared" si="1"/>
        <v>0</v>
      </c>
      <c r="BI16" s="675">
        <f t="shared" si="0"/>
        <v>0</v>
      </c>
      <c r="BJ16" s="675"/>
    </row>
    <row r="17" spans="3:62" ht="15.95" customHeight="1" x14ac:dyDescent="0.2">
      <c r="C17" s="671" t="s">
        <v>241</v>
      </c>
      <c r="D17" s="671"/>
      <c r="E17" s="671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3"/>
      <c r="AW17" s="283"/>
      <c r="AX17" s="283"/>
      <c r="AY17" s="283"/>
      <c r="AZ17" s="283"/>
      <c r="BA17" s="283"/>
      <c r="BB17" s="283"/>
      <c r="BC17" s="283"/>
      <c r="BD17" s="283"/>
      <c r="BE17" s="283"/>
      <c r="BF17" s="283"/>
      <c r="BG17" s="283"/>
      <c r="BH17" s="283"/>
      <c r="BI17" s="675">
        <f t="shared" si="0"/>
        <v>0</v>
      </c>
      <c r="BJ17" s="675"/>
    </row>
    <row r="18" spans="3:62" s="235" customFormat="1" ht="15.95" customHeight="1" x14ac:dyDescent="0.2">
      <c r="C18" s="671" t="s">
        <v>242</v>
      </c>
      <c r="D18" s="671"/>
      <c r="E18" s="671"/>
      <c r="F18" s="283" cm="1">
        <f t="array" ref="F18">SUMPRODUCT((H_dMnt=F$10)*(H_dKW=F$11)*H_dProdToz)</f>
        <v>0</v>
      </c>
      <c r="G18" s="283" cm="1">
        <f t="array" ref="G18">SUMPRODUCT((H_dMnt=G$10)*(H_dKW=G$11)*H_dProdToz)</f>
        <v>0</v>
      </c>
      <c r="H18" s="283">
        <f>SUMIF(H_dKW,H_KW!H$11,H_dProdToz)</f>
        <v>0</v>
      </c>
      <c r="I18" s="283">
        <f>SUMIF(H_dKW,H_KW!I$11,H_dProdToz)</f>
        <v>0</v>
      </c>
      <c r="J18" s="283">
        <f>SUMIF(H_dKW,H_KW!J$11,H_dProdToz)</f>
        <v>0</v>
      </c>
      <c r="K18" s="283">
        <f>SUMIF(H_dKW,H_KW!K$11,H_dProdToz)</f>
        <v>0</v>
      </c>
      <c r="L18" s="283">
        <f>SUMIF(H_dKW,H_KW!L$11,H_dProdToz)</f>
        <v>0</v>
      </c>
      <c r="M18" s="283">
        <f>SUMIF(H_dKW,H_KW!M$11,H_dProdToz)</f>
        <v>0</v>
      </c>
      <c r="N18" s="283">
        <f>SUMIF(H_dKW,H_KW!N$11,H_dProdToz)</f>
        <v>0</v>
      </c>
      <c r="O18" s="283">
        <f>SUMIF(H_dKW,H_KW!O$11,H_dProdToz)</f>
        <v>0</v>
      </c>
      <c r="P18" s="283">
        <f>SUMIF(H_dKW,H_KW!P$11,H_dProdToz)</f>
        <v>0</v>
      </c>
      <c r="Q18" s="283">
        <f>SUMIF(H_dKW,H_KW!Q$11,H_dProdToz)</f>
        <v>0</v>
      </c>
      <c r="R18" s="283">
        <f>SUMIF(H_dKW,H_KW!R$11,H_dProdToz)</f>
        <v>0</v>
      </c>
      <c r="S18" s="283">
        <f>SUMIF(H_dKW,H_KW!S$11,H_dProdToz)</f>
        <v>0</v>
      </c>
      <c r="T18" s="283">
        <f>SUMIF(H_dKW,H_KW!T$11,H_dProdToz)</f>
        <v>0</v>
      </c>
      <c r="U18" s="283">
        <f>SUMIF(H_dKW,H_KW!U$11,H_dProdToz)</f>
        <v>0</v>
      </c>
      <c r="V18" s="283">
        <f>SUMIF(H_dKW,H_KW!V$11,H_dProdToz)</f>
        <v>0</v>
      </c>
      <c r="W18" s="283">
        <f>SUMIF(H_dKW,H_KW!W$11,H_dProdToz)</f>
        <v>0</v>
      </c>
      <c r="X18" s="283">
        <f>SUMIF(H_dKW,H_KW!X$11,H_dProdToz)</f>
        <v>0</v>
      </c>
      <c r="Y18" s="283">
        <f>SUMIF(H_dKW,H_KW!Y$11,H_dProdToz)</f>
        <v>0</v>
      </c>
      <c r="Z18" s="283">
        <f>SUMIF(H_dKW,H_KW!Z$11,H_dProdToz)</f>
        <v>0</v>
      </c>
      <c r="AA18" s="283">
        <f>SUMIF(H_dKW,H_KW!AA$11,H_dProdToz)</f>
        <v>0</v>
      </c>
      <c r="AB18" s="283">
        <f>SUMIF(H_dKW,H_KW!AB$11,H_dProdToz)</f>
        <v>0</v>
      </c>
      <c r="AC18" s="283">
        <f>SUMIF(H_dKW,H_KW!AC$11,H_dProdToz)</f>
        <v>0</v>
      </c>
      <c r="AD18" s="283">
        <f>SUMIF(H_dKW,H_KW!AD$11,H_dProdToz)</f>
        <v>0</v>
      </c>
      <c r="AE18" s="283">
        <f>SUMIF(H_dKW,H_KW!AE$11,H_dProdToz)</f>
        <v>0</v>
      </c>
      <c r="AF18" s="283">
        <f>SUMIF(H_dKW,H_KW!AF$11,H_dProdToz)</f>
        <v>0</v>
      </c>
      <c r="AG18" s="283">
        <f>SUMIF(H_dKW,H_KW!AG$11,H_dProdToz)</f>
        <v>0</v>
      </c>
      <c r="AH18" s="283">
        <f>SUMIF(H_dKW,H_KW!AH$11,H_dProdToz)</f>
        <v>0</v>
      </c>
      <c r="AI18" s="283">
        <f>SUMIF(H_dKW,H_KW!AI$11,H_dProdToz)</f>
        <v>0</v>
      </c>
      <c r="AJ18" s="283">
        <f>SUMIF(H_dKW,H_KW!AJ$11,H_dProdToz)</f>
        <v>0</v>
      </c>
      <c r="AK18" s="283">
        <f>SUMIF(H_dKW,H_KW!AK$11,H_dProdToz)</f>
        <v>0</v>
      </c>
      <c r="AL18" s="283">
        <f>SUMIF(H_dKW,H_KW!AL$11,H_dProdToz)</f>
        <v>0</v>
      </c>
      <c r="AM18" s="283">
        <f>SUMIF(H_dKW,H_KW!AM$11,H_dProdToz)</f>
        <v>0</v>
      </c>
      <c r="AN18" s="283">
        <f>SUMIF(H_dKW,H_KW!AN$11,H_dProdToz)</f>
        <v>0</v>
      </c>
      <c r="AO18" s="283">
        <f>SUMIF(H_dKW,H_KW!AO$11,H_dProdToz)</f>
        <v>0</v>
      </c>
      <c r="AP18" s="283">
        <f>SUMIF(H_dKW,H_KW!AP$11,H_dProdToz)</f>
        <v>0</v>
      </c>
      <c r="AQ18" s="283">
        <f>SUMIF(H_dKW,H_KW!AQ$11,H_dProdToz)</f>
        <v>0</v>
      </c>
      <c r="AR18" s="283">
        <f>SUMIF(H_dKW,H_KW!AR$11,H_dProdToz)</f>
        <v>0</v>
      </c>
      <c r="AS18" s="283">
        <f>SUMIF(H_dKW,H_KW!AS$11,H_dProdToz)</f>
        <v>0</v>
      </c>
      <c r="AT18" s="283">
        <f>SUMIF(H_dKW,H_KW!AT$11,H_dProdToz)</f>
        <v>0</v>
      </c>
      <c r="AU18" s="283">
        <f>SUMIF(H_dKW,H_KW!AU$11,H_dProdToz)</f>
        <v>0</v>
      </c>
      <c r="AV18" s="283">
        <f>SUMIF(H_dKW,H_KW!AV$11,H_dProdToz)</f>
        <v>0</v>
      </c>
      <c r="AW18" s="283">
        <f>SUMIF(H_dKW,H_KW!AW$11,H_dProdToz)</f>
        <v>0</v>
      </c>
      <c r="AX18" s="283">
        <f>SUMIF(H_dKW,H_KW!AX$11,H_dProdToz)</f>
        <v>0</v>
      </c>
      <c r="AY18" s="283">
        <f>SUMIF(H_dKW,H_KW!AY$11,H_dProdToz)</f>
        <v>0</v>
      </c>
      <c r="AZ18" s="283">
        <f>SUMIF(H_dKW,H_KW!AZ$11,H_dProdToz)</f>
        <v>0</v>
      </c>
      <c r="BA18" s="283">
        <f>SUMIF(H_dKW,H_KW!BA$11,H_dProdToz)</f>
        <v>0</v>
      </c>
      <c r="BB18" s="283">
        <f>SUMIF(H_dKW,H_KW!BB$11,H_dProdToz)</f>
        <v>0</v>
      </c>
      <c r="BC18" s="283">
        <f>SUMIF(H_dKW,H_KW!BC$11,H_dProdToz)</f>
        <v>0</v>
      </c>
      <c r="BD18" s="283">
        <f>SUMIF(H_dKW,H_KW!BD$11,H_dProdToz)</f>
        <v>0</v>
      </c>
      <c r="BE18" s="283">
        <f>SUMIF(H_dKW,H_KW!BE$11,H_dProdToz)</f>
        <v>0</v>
      </c>
      <c r="BF18" s="283">
        <f>SUMIF(H_dKW,H_KW!BF$11,H_dProdToz)</f>
        <v>0</v>
      </c>
      <c r="BG18" s="283" cm="1">
        <f t="array" ref="BG18">SUMPRODUCT((H_dMnt=BG$10)*(H_dKW=BG$11)*H_dProdToz)</f>
        <v>0</v>
      </c>
      <c r="BH18" s="283" cm="1">
        <f t="array" ref="BH18">SUMPRODUCT((H_dMnt=BH$10)*(H_dKW=BH$11)*H_dProdToz)</f>
        <v>0</v>
      </c>
      <c r="BI18" s="675">
        <f t="shared" si="0"/>
        <v>0</v>
      </c>
      <c r="BJ18" s="675"/>
    </row>
    <row r="19" spans="3:62" s="235" customFormat="1" ht="15.95" customHeight="1" x14ac:dyDescent="0.2">
      <c r="C19" s="671" t="s">
        <v>243</v>
      </c>
      <c r="D19" s="671"/>
      <c r="E19" s="671"/>
      <c r="F19" s="283">
        <f t="shared" ref="F19:AK19" si="2">F18-A_fldMaxWStd</f>
        <v>-48</v>
      </c>
      <c r="G19" s="283">
        <f t="shared" si="2"/>
        <v>-48</v>
      </c>
      <c r="H19" s="283">
        <f t="shared" si="2"/>
        <v>-48</v>
      </c>
      <c r="I19" s="283">
        <f t="shared" si="2"/>
        <v>-48</v>
      </c>
      <c r="J19" s="283">
        <f t="shared" si="2"/>
        <v>-48</v>
      </c>
      <c r="K19" s="283">
        <f t="shared" si="2"/>
        <v>-48</v>
      </c>
      <c r="L19" s="283">
        <f t="shared" si="2"/>
        <v>-48</v>
      </c>
      <c r="M19" s="283">
        <f t="shared" si="2"/>
        <v>-48</v>
      </c>
      <c r="N19" s="283">
        <f t="shared" si="2"/>
        <v>-48</v>
      </c>
      <c r="O19" s="283">
        <f t="shared" si="2"/>
        <v>-48</v>
      </c>
      <c r="P19" s="283">
        <f t="shared" si="2"/>
        <v>-48</v>
      </c>
      <c r="Q19" s="283">
        <f t="shared" si="2"/>
        <v>-48</v>
      </c>
      <c r="R19" s="283">
        <f t="shared" si="2"/>
        <v>-48</v>
      </c>
      <c r="S19" s="283">
        <f t="shared" si="2"/>
        <v>-48</v>
      </c>
      <c r="T19" s="283">
        <f t="shared" si="2"/>
        <v>-48</v>
      </c>
      <c r="U19" s="283">
        <f t="shared" si="2"/>
        <v>-48</v>
      </c>
      <c r="V19" s="283">
        <f t="shared" si="2"/>
        <v>-48</v>
      </c>
      <c r="W19" s="283">
        <f t="shared" si="2"/>
        <v>-48</v>
      </c>
      <c r="X19" s="283">
        <f t="shared" si="2"/>
        <v>-48</v>
      </c>
      <c r="Y19" s="283">
        <f t="shared" si="2"/>
        <v>-48</v>
      </c>
      <c r="Z19" s="283">
        <f t="shared" si="2"/>
        <v>-48</v>
      </c>
      <c r="AA19" s="283">
        <f t="shared" si="2"/>
        <v>-48</v>
      </c>
      <c r="AB19" s="283">
        <f t="shared" si="2"/>
        <v>-48</v>
      </c>
      <c r="AC19" s="283">
        <f t="shared" si="2"/>
        <v>-48</v>
      </c>
      <c r="AD19" s="283">
        <f t="shared" si="2"/>
        <v>-48</v>
      </c>
      <c r="AE19" s="283">
        <f t="shared" si="2"/>
        <v>-48</v>
      </c>
      <c r="AF19" s="283">
        <f t="shared" si="2"/>
        <v>-48</v>
      </c>
      <c r="AG19" s="283">
        <f t="shared" si="2"/>
        <v>-48</v>
      </c>
      <c r="AH19" s="283">
        <f t="shared" si="2"/>
        <v>-48</v>
      </c>
      <c r="AI19" s="283">
        <f t="shared" si="2"/>
        <v>-48</v>
      </c>
      <c r="AJ19" s="283">
        <f t="shared" si="2"/>
        <v>-48</v>
      </c>
      <c r="AK19" s="283">
        <f t="shared" si="2"/>
        <v>-48</v>
      </c>
      <c r="AL19" s="283">
        <f t="shared" ref="AL19:BH19" si="3">AL18-A_fldMaxWStd</f>
        <v>-48</v>
      </c>
      <c r="AM19" s="283">
        <f t="shared" si="3"/>
        <v>-48</v>
      </c>
      <c r="AN19" s="283">
        <f t="shared" si="3"/>
        <v>-48</v>
      </c>
      <c r="AO19" s="283">
        <f t="shared" si="3"/>
        <v>-48</v>
      </c>
      <c r="AP19" s="283">
        <f t="shared" si="3"/>
        <v>-48</v>
      </c>
      <c r="AQ19" s="283">
        <f t="shared" si="3"/>
        <v>-48</v>
      </c>
      <c r="AR19" s="283">
        <f t="shared" si="3"/>
        <v>-48</v>
      </c>
      <c r="AS19" s="283">
        <f t="shared" si="3"/>
        <v>-48</v>
      </c>
      <c r="AT19" s="283">
        <f t="shared" si="3"/>
        <v>-48</v>
      </c>
      <c r="AU19" s="283">
        <f t="shared" si="3"/>
        <v>-48</v>
      </c>
      <c r="AV19" s="283">
        <f t="shared" si="3"/>
        <v>-48</v>
      </c>
      <c r="AW19" s="283">
        <f t="shared" si="3"/>
        <v>-48</v>
      </c>
      <c r="AX19" s="283">
        <f t="shared" si="3"/>
        <v>-48</v>
      </c>
      <c r="AY19" s="283">
        <f t="shared" si="3"/>
        <v>-48</v>
      </c>
      <c r="AZ19" s="283">
        <f t="shared" si="3"/>
        <v>-48</v>
      </c>
      <c r="BA19" s="283">
        <f t="shared" si="3"/>
        <v>-48</v>
      </c>
      <c r="BB19" s="283">
        <f t="shared" si="3"/>
        <v>-48</v>
      </c>
      <c r="BC19" s="283">
        <f t="shared" si="3"/>
        <v>-48</v>
      </c>
      <c r="BD19" s="283">
        <f t="shared" si="3"/>
        <v>-48</v>
      </c>
      <c r="BE19" s="283">
        <f t="shared" si="3"/>
        <v>-48</v>
      </c>
      <c r="BF19" s="283">
        <f t="shared" si="3"/>
        <v>-48</v>
      </c>
      <c r="BG19" s="283">
        <f t="shared" si="3"/>
        <v>-48</v>
      </c>
      <c r="BH19" s="283">
        <f t="shared" si="3"/>
        <v>-48</v>
      </c>
      <c r="BI19" s="675">
        <f t="shared" ref="BI19" si="4">SUM(F19:BH19)</f>
        <v>-2640</v>
      </c>
      <c r="BJ19" s="675"/>
    </row>
    <row r="20" spans="3:62" s="235" customFormat="1" ht="15.95" customHeight="1" x14ac:dyDescent="0.2">
      <c r="C20" s="671" t="s">
        <v>244</v>
      </c>
      <c r="D20" s="671"/>
      <c r="E20" s="671"/>
      <c r="F20" s="283">
        <f t="shared" ref="F20:AK20" si="5">IF(F19&gt;0,F19*A_fldZ1,0)</f>
        <v>0</v>
      </c>
      <c r="G20" s="283">
        <f t="shared" si="5"/>
        <v>0</v>
      </c>
      <c r="H20" s="283">
        <f t="shared" si="5"/>
        <v>0</v>
      </c>
      <c r="I20" s="283">
        <f t="shared" si="5"/>
        <v>0</v>
      </c>
      <c r="J20" s="283">
        <f t="shared" si="5"/>
        <v>0</v>
      </c>
      <c r="K20" s="283">
        <f t="shared" si="5"/>
        <v>0</v>
      </c>
      <c r="L20" s="283">
        <f t="shared" si="5"/>
        <v>0</v>
      </c>
      <c r="M20" s="283">
        <f t="shared" si="5"/>
        <v>0</v>
      </c>
      <c r="N20" s="283">
        <f t="shared" si="5"/>
        <v>0</v>
      </c>
      <c r="O20" s="283">
        <f t="shared" si="5"/>
        <v>0</v>
      </c>
      <c r="P20" s="283">
        <f t="shared" si="5"/>
        <v>0</v>
      </c>
      <c r="Q20" s="283">
        <f t="shared" si="5"/>
        <v>0</v>
      </c>
      <c r="R20" s="283">
        <f t="shared" si="5"/>
        <v>0</v>
      </c>
      <c r="S20" s="283">
        <f t="shared" si="5"/>
        <v>0</v>
      </c>
      <c r="T20" s="283">
        <f t="shared" si="5"/>
        <v>0</v>
      </c>
      <c r="U20" s="283">
        <f t="shared" si="5"/>
        <v>0</v>
      </c>
      <c r="V20" s="283">
        <f t="shared" si="5"/>
        <v>0</v>
      </c>
      <c r="W20" s="283">
        <f t="shared" si="5"/>
        <v>0</v>
      </c>
      <c r="X20" s="283">
        <f t="shared" si="5"/>
        <v>0</v>
      </c>
      <c r="Y20" s="283">
        <f t="shared" si="5"/>
        <v>0</v>
      </c>
      <c r="Z20" s="283">
        <f t="shared" si="5"/>
        <v>0</v>
      </c>
      <c r="AA20" s="283">
        <f t="shared" si="5"/>
        <v>0</v>
      </c>
      <c r="AB20" s="283">
        <f t="shared" si="5"/>
        <v>0</v>
      </c>
      <c r="AC20" s="283">
        <f t="shared" si="5"/>
        <v>0</v>
      </c>
      <c r="AD20" s="283">
        <f t="shared" si="5"/>
        <v>0</v>
      </c>
      <c r="AE20" s="283">
        <f t="shared" si="5"/>
        <v>0</v>
      </c>
      <c r="AF20" s="283">
        <f t="shared" si="5"/>
        <v>0</v>
      </c>
      <c r="AG20" s="283">
        <f t="shared" si="5"/>
        <v>0</v>
      </c>
      <c r="AH20" s="283">
        <f t="shared" si="5"/>
        <v>0</v>
      </c>
      <c r="AI20" s="283">
        <f t="shared" si="5"/>
        <v>0</v>
      </c>
      <c r="AJ20" s="283">
        <f t="shared" si="5"/>
        <v>0</v>
      </c>
      <c r="AK20" s="283">
        <f t="shared" si="5"/>
        <v>0</v>
      </c>
      <c r="AL20" s="283">
        <f t="shared" ref="AL20:BH20" si="6">IF(AL19&gt;0,AL19*A_fldZ1,0)</f>
        <v>0</v>
      </c>
      <c r="AM20" s="283">
        <f t="shared" si="6"/>
        <v>0</v>
      </c>
      <c r="AN20" s="283">
        <f t="shared" si="6"/>
        <v>0</v>
      </c>
      <c r="AO20" s="283">
        <f t="shared" si="6"/>
        <v>0</v>
      </c>
      <c r="AP20" s="283">
        <f t="shared" si="6"/>
        <v>0</v>
      </c>
      <c r="AQ20" s="283">
        <f t="shared" si="6"/>
        <v>0</v>
      </c>
      <c r="AR20" s="283">
        <f t="shared" si="6"/>
        <v>0</v>
      </c>
      <c r="AS20" s="283">
        <f t="shared" si="6"/>
        <v>0</v>
      </c>
      <c r="AT20" s="283">
        <f t="shared" si="6"/>
        <v>0</v>
      </c>
      <c r="AU20" s="283">
        <f t="shared" si="6"/>
        <v>0</v>
      </c>
      <c r="AV20" s="283">
        <f t="shared" si="6"/>
        <v>0</v>
      </c>
      <c r="AW20" s="283">
        <f t="shared" si="6"/>
        <v>0</v>
      </c>
      <c r="AX20" s="283">
        <f t="shared" si="6"/>
        <v>0</v>
      </c>
      <c r="AY20" s="283">
        <f t="shared" si="6"/>
        <v>0</v>
      </c>
      <c r="AZ20" s="283">
        <f t="shared" si="6"/>
        <v>0</v>
      </c>
      <c r="BA20" s="283">
        <f t="shared" si="6"/>
        <v>0</v>
      </c>
      <c r="BB20" s="283">
        <f t="shared" si="6"/>
        <v>0</v>
      </c>
      <c r="BC20" s="283">
        <f t="shared" si="6"/>
        <v>0</v>
      </c>
      <c r="BD20" s="283">
        <f t="shared" si="6"/>
        <v>0</v>
      </c>
      <c r="BE20" s="283">
        <f t="shared" si="6"/>
        <v>0</v>
      </c>
      <c r="BF20" s="283">
        <f t="shared" si="6"/>
        <v>0</v>
      </c>
      <c r="BG20" s="283">
        <f t="shared" si="6"/>
        <v>0</v>
      </c>
      <c r="BH20" s="283">
        <f t="shared" si="6"/>
        <v>0</v>
      </c>
      <c r="BI20" s="675">
        <f t="shared" ref="BI20" si="7">SUM(F20:BH20)</f>
        <v>0</v>
      </c>
      <c r="BJ20" s="675"/>
    </row>
  </sheetData>
  <sheetProtection algorithmName="SHA-512" hashValue="jYX33Np8cvGOoalmJSMHjhVk+tLtXFbV9jXImZr2k4dhFwGDWfxglmZwU7MGgvDensO5xY1OPdRzIK3A6cATLA==" saltValue="3dys50WyHjPaJiZpb6DdQw==" spinCount="100000" sheet="1" objects="1" scenarios="1"/>
  <mergeCells count="23">
    <mergeCell ref="C20:E20"/>
    <mergeCell ref="BI20:BJ20"/>
    <mergeCell ref="BI15:BJ15"/>
    <mergeCell ref="BI16:BJ16"/>
    <mergeCell ref="BI17:BJ17"/>
    <mergeCell ref="BI18:BJ18"/>
    <mergeCell ref="C19:E19"/>
    <mergeCell ref="BI19:BJ19"/>
    <mergeCell ref="BI10:BJ10"/>
    <mergeCell ref="BI11:BJ11"/>
    <mergeCell ref="BI12:BJ12"/>
    <mergeCell ref="BI13:BJ13"/>
    <mergeCell ref="BI14:BJ14"/>
    <mergeCell ref="C14:E14"/>
    <mergeCell ref="C15:E15"/>
    <mergeCell ref="C16:E16"/>
    <mergeCell ref="C17:E17"/>
    <mergeCell ref="C18:E18"/>
    <mergeCell ref="C8:U8"/>
    <mergeCell ref="C11:E11"/>
    <mergeCell ref="C10:E10"/>
    <mergeCell ref="C12:E12"/>
    <mergeCell ref="C13:E13"/>
  </mergeCells>
  <phoneticPr fontId="12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h02tag">
    <tabColor theme="2"/>
  </sheetPr>
  <dimension ref="B2:AO23"/>
  <sheetViews>
    <sheetView zoomScale="80" zoomScaleNormal="80" workbookViewId="0">
      <selection activeCell="K13" sqref="K13:M13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70" customFormat="1" ht="27.75" x14ac:dyDescent="0.2">
      <c r="B2" s="270" t="s">
        <v>245</v>
      </c>
    </row>
    <row r="5" spans="2:41" ht="15.75" x14ac:dyDescent="0.2">
      <c r="B5" s="676" t="s">
        <v>246</v>
      </c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  <c r="S5" s="676"/>
      <c r="T5" s="676"/>
    </row>
    <row r="11" spans="2:41" s="38" customFormat="1" ht="15.6" customHeight="1" x14ac:dyDescent="0.2">
      <c r="F11" s="678"/>
      <c r="G11" s="679"/>
      <c r="H11" s="680"/>
      <c r="I11" s="271"/>
      <c r="J11" s="271"/>
      <c r="K11" s="272">
        <v>1</v>
      </c>
      <c r="L11" s="272">
        <v>2</v>
      </c>
      <c r="M11" s="272">
        <v>3</v>
      </c>
      <c r="N11" s="272">
        <v>4</v>
      </c>
      <c r="O11" s="272">
        <v>5</v>
      </c>
      <c r="P11" s="272">
        <v>6</v>
      </c>
      <c r="Q11" s="272">
        <v>7</v>
      </c>
      <c r="R11" s="272">
        <v>8</v>
      </c>
      <c r="S11" s="272">
        <v>9</v>
      </c>
      <c r="T11" s="272">
        <v>10</v>
      </c>
      <c r="U11" s="272">
        <v>11</v>
      </c>
      <c r="V11" s="272">
        <v>12</v>
      </c>
      <c r="W11" s="272">
        <v>13</v>
      </c>
      <c r="X11" s="272">
        <v>14</v>
      </c>
      <c r="Y11" s="272">
        <v>15</v>
      </c>
      <c r="Z11" s="272">
        <v>16</v>
      </c>
      <c r="AA11" s="272">
        <v>17</v>
      </c>
      <c r="AB11" s="272">
        <v>18</v>
      </c>
      <c r="AC11" s="272">
        <v>19</v>
      </c>
      <c r="AD11" s="272">
        <v>20</v>
      </c>
      <c r="AE11" s="272">
        <v>21</v>
      </c>
      <c r="AF11" s="272">
        <v>22</v>
      </c>
      <c r="AG11" s="272">
        <v>23</v>
      </c>
      <c r="AH11" s="272">
        <v>24</v>
      </c>
      <c r="AI11" s="272">
        <v>25</v>
      </c>
      <c r="AJ11" s="272">
        <v>26</v>
      </c>
      <c r="AK11" s="272">
        <v>27</v>
      </c>
      <c r="AL11" s="272">
        <v>28</v>
      </c>
      <c r="AM11" s="272">
        <v>29</v>
      </c>
      <c r="AN11" s="272">
        <v>30</v>
      </c>
      <c r="AO11" s="272">
        <v>31</v>
      </c>
    </row>
    <row r="12" spans="2:41" ht="15.6" customHeight="1" x14ac:dyDescent="0.2">
      <c r="F12" s="677"/>
      <c r="G12" s="677"/>
      <c r="H12" s="677"/>
      <c r="I12" s="272">
        <v>1</v>
      </c>
      <c r="J12" s="273" t="s">
        <v>69</v>
      </c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6"/>
    </row>
    <row r="13" spans="2:41" ht="15.6" customHeight="1" x14ac:dyDescent="0.2">
      <c r="F13" s="677"/>
      <c r="G13" s="677"/>
      <c r="H13" s="677"/>
      <c r="I13" s="272">
        <v>2</v>
      </c>
      <c r="J13" s="277" t="s">
        <v>70</v>
      </c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6"/>
    </row>
    <row r="14" spans="2:41" ht="15.6" customHeight="1" x14ac:dyDescent="0.2">
      <c r="F14" s="677"/>
      <c r="G14" s="677"/>
      <c r="H14" s="677"/>
      <c r="I14" s="272">
        <v>3</v>
      </c>
      <c r="J14" s="277" t="s">
        <v>71</v>
      </c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6"/>
    </row>
    <row r="15" spans="2:41" ht="15.6" customHeight="1" x14ac:dyDescent="0.2">
      <c r="F15" s="677"/>
      <c r="G15" s="677"/>
      <c r="H15" s="677"/>
      <c r="I15" s="272">
        <v>4</v>
      </c>
      <c r="J15" s="277" t="s">
        <v>72</v>
      </c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6"/>
    </row>
    <row r="16" spans="2:41" ht="15.6" customHeight="1" x14ac:dyDescent="0.2">
      <c r="F16" s="677"/>
      <c r="G16" s="677"/>
      <c r="H16" s="677"/>
      <c r="I16" s="272">
        <v>5</v>
      </c>
      <c r="J16" s="277" t="s">
        <v>73</v>
      </c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6"/>
    </row>
    <row r="17" spans="6:41" ht="15.6" customHeight="1" x14ac:dyDescent="0.2">
      <c r="F17" s="677"/>
      <c r="G17" s="677"/>
      <c r="H17" s="677"/>
      <c r="I17" s="272">
        <v>6</v>
      </c>
      <c r="J17" s="277" t="s">
        <v>74</v>
      </c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6"/>
    </row>
    <row r="18" spans="6:41" ht="15.6" customHeight="1" x14ac:dyDescent="0.2">
      <c r="F18" s="677"/>
      <c r="G18" s="677"/>
      <c r="H18" s="677"/>
      <c r="I18" s="272">
        <v>7</v>
      </c>
      <c r="J18" s="277" t="s">
        <v>75</v>
      </c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6"/>
    </row>
    <row r="19" spans="6:41" ht="15.6" customHeight="1" x14ac:dyDescent="0.2">
      <c r="F19" s="677"/>
      <c r="G19" s="677"/>
      <c r="H19" s="677"/>
      <c r="I19" s="272">
        <v>8</v>
      </c>
      <c r="J19" s="277" t="s">
        <v>76</v>
      </c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6"/>
    </row>
    <row r="20" spans="6:41" ht="15.6" customHeight="1" x14ac:dyDescent="0.2">
      <c r="F20" s="677"/>
      <c r="G20" s="677"/>
      <c r="H20" s="677"/>
      <c r="I20" s="272">
        <v>9</v>
      </c>
      <c r="J20" s="277" t="s">
        <v>77</v>
      </c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6"/>
    </row>
    <row r="21" spans="6:41" ht="15.6" customHeight="1" x14ac:dyDescent="0.2">
      <c r="F21" s="677"/>
      <c r="G21" s="677"/>
      <c r="H21" s="677"/>
      <c r="I21" s="272">
        <v>10</v>
      </c>
      <c r="J21" s="277" t="s">
        <v>78</v>
      </c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6"/>
    </row>
    <row r="22" spans="6:41" ht="15.6" customHeight="1" x14ac:dyDescent="0.2">
      <c r="F22" s="677"/>
      <c r="G22" s="677"/>
      <c r="H22" s="677"/>
      <c r="I22" s="272">
        <v>11</v>
      </c>
      <c r="J22" s="277" t="s">
        <v>79</v>
      </c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6"/>
    </row>
    <row r="23" spans="6:41" ht="15.6" customHeight="1" x14ac:dyDescent="0.2">
      <c r="F23" s="677"/>
      <c r="G23" s="677"/>
      <c r="H23" s="677"/>
      <c r="I23" s="272">
        <v>12</v>
      </c>
      <c r="J23" s="277" t="s">
        <v>80</v>
      </c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6"/>
    </row>
  </sheetData>
  <sheetProtection algorithmName="SHA-512" hashValue="1WEc93y6luEakqP/5tPE3MlCwSJVH2enJMMyh75rhjCI2viLR51czJpoFEES8BSzhYMoPWs3jTQRtr57rN18xA==" saltValue="dS5RaYo8nuXC5kusNsH4PQ==" spinCount="100000" sheet="1" objects="1" scenarios="1"/>
  <mergeCells count="14"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  <mergeCell ref="B5:T5"/>
    <mergeCell ref="F12:H12"/>
    <mergeCell ref="F13:H13"/>
    <mergeCell ref="F14:H14"/>
    <mergeCell ref="F15:H15"/>
  </mergeCells>
  <phoneticPr fontId="67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abel">
    <tabColor theme="0" tint="-0.14999847407452621"/>
  </sheetPr>
  <dimension ref="A1:K820"/>
  <sheetViews>
    <sheetView topLeftCell="A355" workbookViewId="0">
      <selection activeCell="K13" sqref="K13:M13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4" customWidth="1"/>
    <col min="3" max="3" width="45.140625" style="124" customWidth="1"/>
    <col min="4" max="6" width="37" style="124" customWidth="1"/>
    <col min="7" max="7" width="8.85546875" style="124" customWidth="1"/>
    <col min="8" max="8" width="46.42578125" style="137" customWidth="1"/>
  </cols>
  <sheetData>
    <row r="1" spans="1:4" ht="22.5" customHeight="1" x14ac:dyDescent="0.2">
      <c r="A1" s="76" t="s">
        <v>247</v>
      </c>
    </row>
    <row r="3" spans="1:4" x14ac:dyDescent="0.2">
      <c r="A3" s="46" t="s">
        <v>248</v>
      </c>
      <c r="B3" s="56" t="s">
        <v>249</v>
      </c>
    </row>
    <row r="4" spans="1:4" x14ac:dyDescent="0.2">
      <c r="A4" s="46"/>
      <c r="B4" s="56"/>
    </row>
    <row r="5" spans="1:4" ht="17.45" customHeight="1" x14ac:dyDescent="0.2">
      <c r="A5" s="75" t="s">
        <v>250</v>
      </c>
      <c r="B5" s="56"/>
    </row>
    <row r="6" spans="1:4" s="135" customFormat="1" ht="21.6" customHeight="1" thickBot="1" x14ac:dyDescent="0.25">
      <c r="A6" s="260" t="s">
        <v>2</v>
      </c>
      <c r="B6" s="261" t="s">
        <v>251</v>
      </c>
      <c r="C6" s="134"/>
      <c r="D6" s="197" t="s">
        <v>252</v>
      </c>
    </row>
    <row r="7" spans="1:4" ht="18.600000000000001" customHeight="1" thickTop="1" thickBot="1" x14ac:dyDescent="0.25">
      <c r="A7" s="262" t="s">
        <v>3</v>
      </c>
      <c r="B7" s="263" t="s">
        <v>253</v>
      </c>
      <c r="D7" s="136" t="s">
        <v>254</v>
      </c>
    </row>
    <row r="8" spans="1:4" ht="18.600000000000001" customHeight="1" thickTop="1" thickBot="1" x14ac:dyDescent="0.25">
      <c r="A8" s="264" t="s">
        <v>255</v>
      </c>
      <c r="B8" s="265" t="s">
        <v>256</v>
      </c>
      <c r="D8" s="136" t="s">
        <v>257</v>
      </c>
    </row>
    <row r="9" spans="1:4" ht="18.600000000000001" customHeight="1" thickTop="1" thickBot="1" x14ac:dyDescent="0.25">
      <c r="A9" s="266" t="s">
        <v>258</v>
      </c>
      <c r="B9" s="267" t="s">
        <v>64</v>
      </c>
      <c r="D9" s="136" t="s">
        <v>259</v>
      </c>
    </row>
    <row r="10" spans="1:4" ht="18.600000000000001" customHeight="1" thickTop="1" thickBot="1" x14ac:dyDescent="0.25">
      <c r="A10" s="264" t="s">
        <v>260</v>
      </c>
      <c r="B10" s="265" t="s">
        <v>261</v>
      </c>
      <c r="D10" s="136" t="s">
        <v>262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263</v>
      </c>
      <c r="B13" s="125" t="str">
        <f>IF(D_Debug="ja","Debug",VLOOKUP(Admin_Konfig!$W$3,H_Label!$A$7:$B$10,2,FALSE))</f>
        <v>DE</v>
      </c>
    </row>
    <row r="14" spans="1:4" x14ac:dyDescent="0.2">
      <c r="A14" s="11"/>
    </row>
    <row r="15" spans="1:4" x14ac:dyDescent="0.2">
      <c r="A15" s="46" t="s">
        <v>264</v>
      </c>
      <c r="B15" s="126" t="s">
        <v>265</v>
      </c>
    </row>
    <row r="18" spans="1:10" ht="25.5" x14ac:dyDescent="0.2">
      <c r="A18" s="75" t="s">
        <v>266</v>
      </c>
      <c r="B18" s="56" t="s">
        <v>267</v>
      </c>
      <c r="H18" s="138"/>
      <c r="I18" s="11"/>
      <c r="J18" s="11"/>
    </row>
    <row r="19" spans="1:10" x14ac:dyDescent="0.2">
      <c r="A19" s="11"/>
      <c r="H19" s="138"/>
      <c r="I19" s="11"/>
      <c r="J19" s="11"/>
    </row>
    <row r="20" spans="1:10" x14ac:dyDescent="0.2">
      <c r="A20" s="11"/>
      <c r="H20" s="138"/>
      <c r="I20" s="11"/>
      <c r="J20" s="11"/>
    </row>
    <row r="21" spans="1:10" s="37" customFormat="1" x14ac:dyDescent="0.2">
      <c r="A21" s="127" t="s">
        <v>268</v>
      </c>
      <c r="B21" s="128" t="s">
        <v>269</v>
      </c>
      <c r="C21" s="128" t="s">
        <v>253</v>
      </c>
      <c r="D21" s="128" t="s">
        <v>256</v>
      </c>
      <c r="E21" s="128" t="s">
        <v>64</v>
      </c>
      <c r="F21" s="128" t="s">
        <v>261</v>
      </c>
      <c r="G21" s="128" t="s">
        <v>32</v>
      </c>
      <c r="H21" s="139" t="s">
        <v>270</v>
      </c>
    </row>
    <row r="22" spans="1:10" x14ac:dyDescent="0.2">
      <c r="A22" s="129">
        <v>2</v>
      </c>
      <c r="B22" s="133" t="s">
        <v>271</v>
      </c>
      <c r="C22" s="130"/>
      <c r="D22" s="130"/>
      <c r="E22" s="130"/>
      <c r="F22" s="130"/>
      <c r="G22" s="130"/>
      <c r="H22" s="140"/>
    </row>
    <row r="23" spans="1:10" x14ac:dyDescent="0.2">
      <c r="A23" s="129">
        <v>3</v>
      </c>
      <c r="B23" s="131" t="str">
        <f t="shared" ref="B23:B54" si="0">HLOOKUP($B$13,$C$21:$G$820,A23,FALSE)</f>
        <v>[$-807]</v>
      </c>
      <c r="C23" s="132" t="s">
        <v>272</v>
      </c>
      <c r="D23" s="132" t="s">
        <v>273</v>
      </c>
      <c r="E23" s="132" t="s">
        <v>274</v>
      </c>
      <c r="F23" s="132" t="s">
        <v>275</v>
      </c>
      <c r="G23" s="132" t="s">
        <v>276</v>
      </c>
      <c r="H23" s="141" t="s">
        <v>277</v>
      </c>
    </row>
    <row r="24" spans="1:10" x14ac:dyDescent="0.2">
      <c r="A24" s="129">
        <v>4</v>
      </c>
      <c r="B24" s="131" t="str">
        <f t="shared" si="0"/>
        <v>[$-407]</v>
      </c>
      <c r="C24" s="56" t="s">
        <v>276</v>
      </c>
      <c r="D24" s="132" t="s">
        <v>273</v>
      </c>
      <c r="E24" s="132" t="s">
        <v>274</v>
      </c>
      <c r="F24" s="132" t="s">
        <v>275</v>
      </c>
      <c r="G24" s="132" t="s">
        <v>276</v>
      </c>
      <c r="H24" s="137" t="s">
        <v>278</v>
      </c>
    </row>
    <row r="25" spans="1:10" x14ac:dyDescent="0.2">
      <c r="A25" s="129">
        <v>5</v>
      </c>
      <c r="B25" s="131" t="str">
        <f t="shared" si="0"/>
        <v>SMGV</v>
      </c>
      <c r="C25" s="132" t="s">
        <v>279</v>
      </c>
      <c r="D25" s="131" t="str">
        <f>C25</f>
        <v>SMGV</v>
      </c>
      <c r="E25" s="132" t="s">
        <v>280</v>
      </c>
      <c r="F25" s="131" t="s">
        <v>281</v>
      </c>
      <c r="G25" s="131" t="str">
        <f t="shared" ref="G25:G88" si="1">"L"&amp;ROW()</f>
        <v>L25</v>
      </c>
      <c r="H25" s="141" t="s">
        <v>282</v>
      </c>
    </row>
    <row r="26" spans="1:10" x14ac:dyDescent="0.2">
      <c r="A26" s="129">
        <v>6</v>
      </c>
      <c r="B26" s="131" t="str">
        <f t="shared" si="0"/>
        <v>GAV</v>
      </c>
      <c r="C26" s="132" t="s">
        <v>283</v>
      </c>
      <c r="D26" s="131" t="s">
        <v>284</v>
      </c>
      <c r="E26" s="132" t="s">
        <v>285</v>
      </c>
      <c r="F26" s="131" t="s">
        <v>286</v>
      </c>
      <c r="G26" s="131" t="str">
        <f t="shared" si="1"/>
        <v>L26</v>
      </c>
      <c r="H26" s="141" t="s">
        <v>287</v>
      </c>
    </row>
    <row r="27" spans="1:10" x14ac:dyDescent="0.2">
      <c r="A27" s="129">
        <v>7</v>
      </c>
      <c r="B27" s="131" t="str">
        <f t="shared" si="0"/>
        <v>Kontrolle</v>
      </c>
      <c r="C27" s="132" t="s">
        <v>288</v>
      </c>
      <c r="D27" s="131" t="s">
        <v>289</v>
      </c>
      <c r="E27" s="132" t="s">
        <v>290</v>
      </c>
      <c r="F27" s="131" t="s">
        <v>291</v>
      </c>
      <c r="G27" s="56" t="str">
        <f t="shared" si="1"/>
        <v>L27</v>
      </c>
      <c r="H27" s="141" t="s">
        <v>292</v>
      </c>
    </row>
    <row r="28" spans="1:10" x14ac:dyDescent="0.2">
      <c r="A28" s="129">
        <v>8</v>
      </c>
      <c r="B28" s="131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7" t="s">
        <v>294</v>
      </c>
    </row>
    <row r="29" spans="1:10" ht="25.5" x14ac:dyDescent="0.2">
      <c r="A29" s="129">
        <v>9</v>
      </c>
      <c r="B29" s="131" t="str">
        <f t="shared" si="0"/>
        <v>Arbeitszeitkontrolle SMGV - Basisblatt</v>
      </c>
      <c r="C29" s="56" t="s">
        <v>295</v>
      </c>
      <c r="D29" s="56" t="s">
        <v>296</v>
      </c>
      <c r="E29" s="56" t="s">
        <v>615</v>
      </c>
      <c r="F29" s="56" t="s">
        <v>296</v>
      </c>
      <c r="G29" s="124" t="str">
        <f t="shared" si="1"/>
        <v>L29</v>
      </c>
      <c r="H29" s="141"/>
    </row>
    <row r="30" spans="1:10" x14ac:dyDescent="0.2">
      <c r="A30" s="129">
        <v>10</v>
      </c>
      <c r="B30" s="131" t="str">
        <f t="shared" si="0"/>
        <v>.</v>
      </c>
      <c r="C30" s="56" t="s">
        <v>296</v>
      </c>
      <c r="D30" s="124" t="s">
        <v>296</v>
      </c>
      <c r="E30" s="124" t="s">
        <v>296</v>
      </c>
      <c r="F30" s="124" t="s">
        <v>296</v>
      </c>
      <c r="G30" s="124" t="str">
        <f t="shared" si="1"/>
        <v>L30</v>
      </c>
      <c r="H30" s="141"/>
    </row>
    <row r="31" spans="1:10" x14ac:dyDescent="0.2">
      <c r="A31" s="129">
        <v>11</v>
      </c>
      <c r="B31" s="131" t="str">
        <f t="shared" si="0"/>
        <v>Info</v>
      </c>
      <c r="C31" s="56" t="s">
        <v>293</v>
      </c>
      <c r="D31" s="56" t="s">
        <v>293</v>
      </c>
      <c r="E31" s="56" t="s">
        <v>293</v>
      </c>
      <c r="F31" s="56" t="s">
        <v>293</v>
      </c>
      <c r="G31" s="124" t="str">
        <f t="shared" si="1"/>
        <v>L31</v>
      </c>
      <c r="H31" s="141"/>
    </row>
    <row r="32" spans="1:10" x14ac:dyDescent="0.2">
      <c r="A32" s="129">
        <v>12</v>
      </c>
      <c r="B32" s="131" t="str">
        <f t="shared" si="0"/>
        <v>Stunden Vorjahr</v>
      </c>
      <c r="C32" s="56" t="s">
        <v>585</v>
      </c>
      <c r="D32" s="124" t="s">
        <v>296</v>
      </c>
      <c r="E32" s="124" t="s">
        <v>625</v>
      </c>
      <c r="F32" s="124" t="s">
        <v>296</v>
      </c>
      <c r="G32" s="124" t="str">
        <f t="shared" si="1"/>
        <v>L32</v>
      </c>
      <c r="H32" s="141"/>
    </row>
    <row r="33" spans="1:8" x14ac:dyDescent="0.2">
      <c r="A33" s="129">
        <v>13</v>
      </c>
      <c r="B33" s="131" t="str">
        <f t="shared" si="0"/>
        <v>Stundensaldo laufend</v>
      </c>
      <c r="C33" s="56" t="s">
        <v>586</v>
      </c>
      <c r="D33" s="124" t="s">
        <v>296</v>
      </c>
      <c r="E33" s="124" t="s">
        <v>626</v>
      </c>
      <c r="F33" s="124" t="s">
        <v>296</v>
      </c>
      <c r="G33" s="124" t="str">
        <f t="shared" si="1"/>
        <v>L33</v>
      </c>
      <c r="H33" s="141"/>
    </row>
    <row r="34" spans="1:8" x14ac:dyDescent="0.2">
      <c r="A34" s="129">
        <v>14</v>
      </c>
      <c r="B34" s="131" t="str">
        <f t="shared" si="0"/>
        <v>Feriensaldo</v>
      </c>
      <c r="C34" s="56" t="s">
        <v>313</v>
      </c>
      <c r="D34" s="124" t="s">
        <v>296</v>
      </c>
      <c r="E34" s="124" t="s">
        <v>631</v>
      </c>
      <c r="F34" s="124" t="s">
        <v>296</v>
      </c>
      <c r="G34" s="124" t="str">
        <f t="shared" si="1"/>
        <v>L34</v>
      </c>
      <c r="H34" s="141"/>
    </row>
    <row r="35" spans="1:8" x14ac:dyDescent="0.2">
      <c r="A35" s="129">
        <v>15</v>
      </c>
      <c r="B35" s="131" t="str">
        <f t="shared" si="0"/>
        <v>.</v>
      </c>
      <c r="C35" s="124" t="s">
        <v>296</v>
      </c>
      <c r="D35" s="124" t="s">
        <v>296</v>
      </c>
      <c r="E35" s="124" t="s">
        <v>296</v>
      </c>
      <c r="F35" s="124" t="s">
        <v>296</v>
      </c>
      <c r="G35" s="124" t="str">
        <f t="shared" si="1"/>
        <v>L35</v>
      </c>
      <c r="H35" s="141"/>
    </row>
    <row r="36" spans="1:8" x14ac:dyDescent="0.2">
      <c r="A36" s="129">
        <v>16</v>
      </c>
      <c r="B36" s="131" t="str">
        <f t="shared" si="0"/>
        <v>.</v>
      </c>
      <c r="C36" s="124" t="s">
        <v>296</v>
      </c>
      <c r="D36" s="124" t="s">
        <v>296</v>
      </c>
      <c r="E36" s="124" t="s">
        <v>296</v>
      </c>
      <c r="F36" s="124" t="s">
        <v>296</v>
      </c>
      <c r="G36" s="124" t="str">
        <f t="shared" si="1"/>
        <v>L36</v>
      </c>
      <c r="H36" s="141"/>
    </row>
    <row r="37" spans="1:8" x14ac:dyDescent="0.2">
      <c r="A37" s="129">
        <v>17</v>
      </c>
      <c r="B37" s="131" t="str">
        <f t="shared" si="0"/>
        <v>effektiver BG</v>
      </c>
      <c r="C37" s="56" t="s">
        <v>502</v>
      </c>
      <c r="D37" s="124" t="s">
        <v>296</v>
      </c>
      <c r="E37" s="124" t="s">
        <v>758</v>
      </c>
      <c r="F37" s="124" t="s">
        <v>296</v>
      </c>
      <c r="G37" s="124" t="str">
        <f t="shared" si="1"/>
        <v>L37</v>
      </c>
      <c r="H37" s="141"/>
    </row>
    <row r="38" spans="1:8" x14ac:dyDescent="0.2">
      <c r="A38" s="129">
        <v>18</v>
      </c>
      <c r="B38" s="131" t="str">
        <f t="shared" si="0"/>
        <v>.</v>
      </c>
      <c r="C38" s="124" t="s">
        <v>296</v>
      </c>
      <c r="D38" s="124" t="s">
        <v>296</v>
      </c>
      <c r="E38" s="124" t="s">
        <v>296</v>
      </c>
      <c r="F38" s="124" t="s">
        <v>296</v>
      </c>
      <c r="G38" s="124" t="str">
        <f t="shared" si="1"/>
        <v>L38</v>
      </c>
      <c r="H38" s="141"/>
    </row>
    <row r="39" spans="1:8" x14ac:dyDescent="0.2">
      <c r="A39" s="129">
        <v>19</v>
      </c>
      <c r="B39" s="131" t="str">
        <f t="shared" si="0"/>
        <v>.</v>
      </c>
      <c r="C39" s="124" t="s">
        <v>296</v>
      </c>
      <c r="D39" s="124" t="s">
        <v>296</v>
      </c>
      <c r="E39" s="124" t="s">
        <v>296</v>
      </c>
      <c r="F39" s="124" t="s">
        <v>296</v>
      </c>
      <c r="G39" s="124" t="str">
        <f t="shared" si="1"/>
        <v>L39</v>
      </c>
      <c r="H39" s="141"/>
    </row>
    <row r="40" spans="1:8" x14ac:dyDescent="0.2">
      <c r="A40" s="129">
        <v>20</v>
      </c>
      <c r="B40" s="131" t="str">
        <f t="shared" si="0"/>
        <v>.</v>
      </c>
      <c r="C40" s="56" t="s">
        <v>296</v>
      </c>
      <c r="D40" s="124" t="s">
        <v>296</v>
      </c>
      <c r="E40" s="124" t="s">
        <v>296</v>
      </c>
      <c r="F40" s="124" t="s">
        <v>296</v>
      </c>
      <c r="G40" s="124" t="str">
        <f t="shared" si="1"/>
        <v>L40</v>
      </c>
      <c r="H40" s="141"/>
    </row>
    <row r="41" spans="1:8" x14ac:dyDescent="0.2">
      <c r="A41" s="129">
        <v>21</v>
      </c>
      <c r="B41" s="131" t="str">
        <f t="shared" si="0"/>
        <v>.</v>
      </c>
      <c r="C41" s="56" t="s">
        <v>296</v>
      </c>
      <c r="D41" s="124" t="s">
        <v>296</v>
      </c>
      <c r="E41" s="124" t="s">
        <v>296</v>
      </c>
      <c r="F41" s="124" t="s">
        <v>296</v>
      </c>
      <c r="G41" s="124" t="str">
        <f t="shared" si="1"/>
        <v>L41</v>
      </c>
      <c r="H41" s="141"/>
    </row>
    <row r="42" spans="1:8" x14ac:dyDescent="0.2">
      <c r="A42" s="129">
        <v>22</v>
      </c>
      <c r="B42" s="131" t="str">
        <f t="shared" si="0"/>
        <v>.</v>
      </c>
      <c r="C42" s="56" t="s">
        <v>296</v>
      </c>
      <c r="D42" s="124" t="s">
        <v>296</v>
      </c>
      <c r="E42" s="124" t="s">
        <v>296</v>
      </c>
      <c r="F42" s="124" t="s">
        <v>296</v>
      </c>
      <c r="G42" s="124" t="str">
        <f t="shared" si="1"/>
        <v>L42</v>
      </c>
      <c r="H42" s="141"/>
    </row>
    <row r="43" spans="1:8" x14ac:dyDescent="0.2">
      <c r="A43" s="129">
        <v>23</v>
      </c>
      <c r="B43" s="131" t="str">
        <f t="shared" si="0"/>
        <v>Bemerkungen</v>
      </c>
      <c r="C43" s="56" t="s">
        <v>297</v>
      </c>
      <c r="D43" s="124" t="s">
        <v>296</v>
      </c>
      <c r="E43" s="124" t="s">
        <v>633</v>
      </c>
      <c r="F43" s="124" t="s">
        <v>296</v>
      </c>
      <c r="G43" s="124" t="str">
        <f t="shared" si="1"/>
        <v>L43</v>
      </c>
      <c r="H43" s="141"/>
    </row>
    <row r="44" spans="1:8" x14ac:dyDescent="0.2">
      <c r="A44" s="129">
        <v>24</v>
      </c>
      <c r="B44" s="131" t="str">
        <f t="shared" si="0"/>
        <v>Visum Mitarbeiter:in</v>
      </c>
      <c r="C44" s="56" t="s">
        <v>298</v>
      </c>
      <c r="D44" s="124" t="s">
        <v>296</v>
      </c>
      <c r="E44" s="124" t="s">
        <v>634</v>
      </c>
      <c r="F44" s="124" t="s">
        <v>296</v>
      </c>
      <c r="G44" s="124" t="str">
        <f t="shared" si="1"/>
        <v>L44</v>
      </c>
      <c r="H44" s="141"/>
    </row>
    <row r="45" spans="1:8" x14ac:dyDescent="0.2">
      <c r="A45" s="129">
        <v>25</v>
      </c>
      <c r="B45" s="131" t="str">
        <f t="shared" si="0"/>
        <v>Visum vorgesetzte Stelle</v>
      </c>
      <c r="C45" s="56" t="s">
        <v>299</v>
      </c>
      <c r="D45" s="124" t="s">
        <v>296</v>
      </c>
      <c r="E45" s="124" t="s">
        <v>635</v>
      </c>
      <c r="F45" s="124" t="s">
        <v>296</v>
      </c>
      <c r="G45" s="124" t="str">
        <f t="shared" si="1"/>
        <v>L45</v>
      </c>
      <c r="H45" s="141"/>
    </row>
    <row r="46" spans="1:8" x14ac:dyDescent="0.2">
      <c r="A46" s="129">
        <v>26</v>
      </c>
      <c r="B46" s="131" t="str">
        <f t="shared" si="0"/>
        <v>Datum</v>
      </c>
      <c r="C46" s="56" t="s">
        <v>127</v>
      </c>
      <c r="D46" s="124" t="s">
        <v>296</v>
      </c>
      <c r="E46" s="124" t="s">
        <v>636</v>
      </c>
      <c r="F46" s="124" t="s">
        <v>296</v>
      </c>
      <c r="G46" s="124" t="str">
        <f t="shared" si="1"/>
        <v>L46</v>
      </c>
      <c r="H46" s="141"/>
    </row>
    <row r="47" spans="1:8" x14ac:dyDescent="0.2">
      <c r="A47" s="129">
        <v>27</v>
      </c>
      <c r="B47" s="131" t="str">
        <f t="shared" si="0"/>
        <v>.</v>
      </c>
      <c r="C47" s="124" t="s">
        <v>296</v>
      </c>
      <c r="D47" s="124" t="s">
        <v>296</v>
      </c>
      <c r="E47" s="124" t="s">
        <v>296</v>
      </c>
      <c r="F47" s="124" t="s">
        <v>296</v>
      </c>
      <c r="G47" s="124" t="str">
        <f t="shared" si="1"/>
        <v>L47</v>
      </c>
      <c r="H47" s="141"/>
    </row>
    <row r="48" spans="1:8" x14ac:dyDescent="0.2">
      <c r="A48" s="129">
        <v>28</v>
      </c>
      <c r="B48" s="131" t="str">
        <f t="shared" si="0"/>
        <v>.</v>
      </c>
      <c r="C48" s="124" t="s">
        <v>296</v>
      </c>
      <c r="D48" s="124" t="s">
        <v>296</v>
      </c>
      <c r="E48" s="124" t="s">
        <v>296</v>
      </c>
      <c r="F48" s="124" t="s">
        <v>296</v>
      </c>
      <c r="G48" s="124" t="str">
        <f t="shared" si="1"/>
        <v>L48</v>
      </c>
      <c r="H48" s="141"/>
    </row>
    <row r="49" spans="1:8" x14ac:dyDescent="0.2">
      <c r="A49" s="129">
        <v>29</v>
      </c>
      <c r="B49" s="131" t="str">
        <f t="shared" si="0"/>
        <v>Jahr</v>
      </c>
      <c r="C49" s="56" t="s">
        <v>1</v>
      </c>
      <c r="E49" s="124" t="s">
        <v>637</v>
      </c>
      <c r="G49" s="124" t="str">
        <f t="shared" si="1"/>
        <v>L49</v>
      </c>
      <c r="H49" s="141"/>
    </row>
    <row r="50" spans="1:8" x14ac:dyDescent="0.2">
      <c r="A50" s="129">
        <v>30</v>
      </c>
      <c r="B50" s="131" t="str">
        <f t="shared" si="0"/>
        <v>Monat</v>
      </c>
      <c r="C50" s="56" t="s">
        <v>87</v>
      </c>
      <c r="E50" s="124" t="s">
        <v>638</v>
      </c>
      <c r="G50" s="124" t="str">
        <f t="shared" si="1"/>
        <v>L50</v>
      </c>
      <c r="H50" s="141"/>
    </row>
    <row r="51" spans="1:8" x14ac:dyDescent="0.2">
      <c r="A51" s="129">
        <v>31</v>
      </c>
      <c r="B51" s="131" t="str">
        <f t="shared" si="0"/>
        <v>Woche</v>
      </c>
      <c r="C51" s="56" t="s">
        <v>300</v>
      </c>
      <c r="E51" s="124" t="s">
        <v>639</v>
      </c>
      <c r="G51" s="124" t="str">
        <f t="shared" si="1"/>
        <v>L51</v>
      </c>
      <c r="H51" s="141"/>
    </row>
    <row r="52" spans="1:8" x14ac:dyDescent="0.2">
      <c r="A52" s="129">
        <v>32</v>
      </c>
      <c r="B52" s="131" t="str">
        <f t="shared" si="0"/>
        <v>Kalenderwoche</v>
      </c>
      <c r="C52" s="56" t="s">
        <v>301</v>
      </c>
      <c r="E52" s="124" t="s">
        <v>494</v>
      </c>
      <c r="G52" s="124" t="str">
        <f t="shared" si="1"/>
        <v>L52</v>
      </c>
      <c r="H52" s="141"/>
    </row>
    <row r="53" spans="1:8" x14ac:dyDescent="0.2">
      <c r="A53" s="129">
        <v>33</v>
      </c>
      <c r="B53" s="131" t="str">
        <f t="shared" si="0"/>
        <v>KW</v>
      </c>
      <c r="C53" s="56" t="s">
        <v>302</v>
      </c>
      <c r="E53" s="124" t="s">
        <v>640</v>
      </c>
      <c r="G53" s="124" t="str">
        <f t="shared" si="1"/>
        <v>L53</v>
      </c>
      <c r="H53" s="141"/>
    </row>
    <row r="54" spans="1:8" x14ac:dyDescent="0.2">
      <c r="A54" s="129">
        <v>34</v>
      </c>
      <c r="B54" s="131" t="str">
        <f t="shared" si="0"/>
        <v>Tage</v>
      </c>
      <c r="C54" s="56" t="s">
        <v>8</v>
      </c>
      <c r="E54" s="124" t="s">
        <v>641</v>
      </c>
      <c r="G54" s="124" t="str">
        <f t="shared" si="1"/>
        <v>L54</v>
      </c>
      <c r="H54" s="141"/>
    </row>
    <row r="55" spans="1:8" x14ac:dyDescent="0.2">
      <c r="A55" s="129">
        <v>35</v>
      </c>
      <c r="B55" s="131" t="str">
        <f t="shared" ref="B55:B86" si="2">HLOOKUP($B$13,$C$21:$G$820,A55,FALSE)</f>
        <v>Tag</v>
      </c>
      <c r="C55" s="56" t="s">
        <v>303</v>
      </c>
      <c r="E55" s="124" t="s">
        <v>642</v>
      </c>
      <c r="G55" s="124" t="str">
        <f t="shared" si="1"/>
        <v>L55</v>
      </c>
      <c r="H55" s="141"/>
    </row>
    <row r="56" spans="1:8" x14ac:dyDescent="0.2">
      <c r="A56" s="129">
        <v>36</v>
      </c>
      <c r="B56" s="131" t="str">
        <f t="shared" si="2"/>
        <v>Stunden</v>
      </c>
      <c r="C56" s="56" t="s">
        <v>22</v>
      </c>
      <c r="E56" s="124" t="s">
        <v>643</v>
      </c>
      <c r="G56" s="124" t="str">
        <f t="shared" si="1"/>
        <v>L56</v>
      </c>
      <c r="H56" s="141"/>
    </row>
    <row r="57" spans="1:8" x14ac:dyDescent="0.2">
      <c r="A57" s="129">
        <v>37</v>
      </c>
      <c r="B57" s="131" t="str">
        <f t="shared" si="2"/>
        <v>Stunde</v>
      </c>
      <c r="C57" s="56" t="s">
        <v>304</v>
      </c>
      <c r="E57" s="124" t="s">
        <v>644</v>
      </c>
      <c r="G57" s="124" t="str">
        <f t="shared" si="1"/>
        <v>L57</v>
      </c>
      <c r="H57" s="141"/>
    </row>
    <row r="58" spans="1:8" x14ac:dyDescent="0.2">
      <c r="A58" s="129">
        <v>38</v>
      </c>
      <c r="B58" s="131" t="str">
        <f t="shared" si="2"/>
        <v>Std</v>
      </c>
      <c r="C58" s="56" t="s">
        <v>305</v>
      </c>
      <c r="E58" s="124" t="s">
        <v>645</v>
      </c>
      <c r="G58" s="124" t="str">
        <f t="shared" si="1"/>
        <v>L58</v>
      </c>
      <c r="H58" s="141"/>
    </row>
    <row r="59" spans="1:8" x14ac:dyDescent="0.2">
      <c r="A59" s="129">
        <v>39</v>
      </c>
      <c r="B59" s="131">
        <f t="shared" si="2"/>
        <v>0</v>
      </c>
      <c r="C59" s="56"/>
      <c r="G59" s="124" t="str">
        <f t="shared" si="1"/>
        <v>L59</v>
      </c>
      <c r="H59" s="141"/>
    </row>
    <row r="60" spans="1:8" x14ac:dyDescent="0.2">
      <c r="A60" s="129">
        <v>40</v>
      </c>
      <c r="B60" s="131" t="str">
        <f t="shared" si="2"/>
        <v>Januar</v>
      </c>
      <c r="C60" s="56" t="s">
        <v>90</v>
      </c>
      <c r="E60" s="124" t="s">
        <v>646</v>
      </c>
      <c r="G60" s="124" t="str">
        <f t="shared" si="1"/>
        <v>L60</v>
      </c>
      <c r="H60" s="141"/>
    </row>
    <row r="61" spans="1:8" x14ac:dyDescent="0.2">
      <c r="A61" s="129">
        <v>41</v>
      </c>
      <c r="B61" s="131" t="str">
        <f t="shared" si="2"/>
        <v>Februar</v>
      </c>
      <c r="C61" s="56" t="s">
        <v>92</v>
      </c>
      <c r="E61" s="124" t="s">
        <v>647</v>
      </c>
      <c r="G61" s="124" t="str">
        <f t="shared" si="1"/>
        <v>L61</v>
      </c>
      <c r="H61" s="141"/>
    </row>
    <row r="62" spans="1:8" x14ac:dyDescent="0.2">
      <c r="A62" s="129">
        <v>42</v>
      </c>
      <c r="B62" s="131" t="str">
        <f t="shared" si="2"/>
        <v>März</v>
      </c>
      <c r="C62" s="56" t="s">
        <v>94</v>
      </c>
      <c r="E62" s="124" t="s">
        <v>648</v>
      </c>
      <c r="G62" s="124" t="str">
        <f t="shared" si="1"/>
        <v>L62</v>
      </c>
      <c r="H62" s="141"/>
    </row>
    <row r="63" spans="1:8" x14ac:dyDescent="0.2">
      <c r="A63" s="129">
        <v>43</v>
      </c>
      <c r="B63" s="131" t="str">
        <f t="shared" si="2"/>
        <v>April</v>
      </c>
      <c r="C63" s="56" t="s">
        <v>96</v>
      </c>
      <c r="E63" s="124" t="s">
        <v>649</v>
      </c>
      <c r="G63" s="124" t="str">
        <f t="shared" si="1"/>
        <v>L63</v>
      </c>
      <c r="H63" s="141"/>
    </row>
    <row r="64" spans="1:8" x14ac:dyDescent="0.2">
      <c r="A64" s="129">
        <v>44</v>
      </c>
      <c r="B64" s="131" t="str">
        <f t="shared" si="2"/>
        <v>Mai</v>
      </c>
      <c r="C64" s="56" t="s">
        <v>73</v>
      </c>
      <c r="E64" s="124" t="s">
        <v>650</v>
      </c>
      <c r="G64" s="124" t="str">
        <f t="shared" si="1"/>
        <v>L64</v>
      </c>
      <c r="H64" s="141"/>
    </row>
    <row r="65" spans="1:8" x14ac:dyDescent="0.2">
      <c r="A65" s="129">
        <v>45</v>
      </c>
      <c r="B65" s="131" t="str">
        <f t="shared" si="2"/>
        <v>Juni</v>
      </c>
      <c r="C65" s="56" t="s">
        <v>99</v>
      </c>
      <c r="E65" s="124" t="s">
        <v>651</v>
      </c>
      <c r="G65" s="124" t="str">
        <f t="shared" si="1"/>
        <v>L65</v>
      </c>
      <c r="H65" s="141"/>
    </row>
    <row r="66" spans="1:8" x14ac:dyDescent="0.2">
      <c r="A66" s="129">
        <v>46</v>
      </c>
      <c r="B66" s="131" t="str">
        <f t="shared" si="2"/>
        <v>Juli</v>
      </c>
      <c r="C66" s="56" t="s">
        <v>101</v>
      </c>
      <c r="E66" s="124" t="s">
        <v>652</v>
      </c>
      <c r="G66" s="124" t="str">
        <f t="shared" si="1"/>
        <v>L66</v>
      </c>
      <c r="H66" s="141"/>
    </row>
    <row r="67" spans="1:8" x14ac:dyDescent="0.2">
      <c r="A67" s="129">
        <v>47</v>
      </c>
      <c r="B67" s="131" t="str">
        <f t="shared" si="2"/>
        <v>August</v>
      </c>
      <c r="C67" s="56" t="s">
        <v>103</v>
      </c>
      <c r="E67" s="124" t="s">
        <v>653</v>
      </c>
      <c r="G67" s="124" t="str">
        <f t="shared" si="1"/>
        <v>L67</v>
      </c>
      <c r="H67" s="141"/>
    </row>
    <row r="68" spans="1:8" x14ac:dyDescent="0.2">
      <c r="A68" s="129">
        <v>48</v>
      </c>
      <c r="B68" s="131" t="str">
        <f t="shared" si="2"/>
        <v>September</v>
      </c>
      <c r="C68" s="56" t="s">
        <v>105</v>
      </c>
      <c r="E68" s="124" t="s">
        <v>654</v>
      </c>
      <c r="G68" s="124" t="str">
        <f t="shared" si="1"/>
        <v>L68</v>
      </c>
      <c r="H68" s="141"/>
    </row>
    <row r="69" spans="1:8" x14ac:dyDescent="0.2">
      <c r="A69" s="129">
        <v>49</v>
      </c>
      <c r="B69" s="131" t="str">
        <f t="shared" si="2"/>
        <v>Oktober</v>
      </c>
      <c r="C69" s="56" t="s">
        <v>107</v>
      </c>
      <c r="E69" s="124" t="s">
        <v>655</v>
      </c>
      <c r="G69" s="124" t="str">
        <f t="shared" si="1"/>
        <v>L69</v>
      </c>
      <c r="H69" s="141"/>
    </row>
    <row r="70" spans="1:8" x14ac:dyDescent="0.2">
      <c r="A70" s="129">
        <v>50</v>
      </c>
      <c r="B70" s="131" t="str">
        <f t="shared" si="2"/>
        <v>November</v>
      </c>
      <c r="C70" s="56" t="s">
        <v>109</v>
      </c>
      <c r="E70" s="124" t="s">
        <v>656</v>
      </c>
      <c r="G70" s="124" t="str">
        <f t="shared" si="1"/>
        <v>L70</v>
      </c>
      <c r="H70" s="141"/>
    </row>
    <row r="71" spans="1:8" x14ac:dyDescent="0.2">
      <c r="A71" s="129">
        <v>51</v>
      </c>
      <c r="B71" s="131" t="str">
        <f t="shared" si="2"/>
        <v>Dezember</v>
      </c>
      <c r="C71" s="56" t="s">
        <v>111</v>
      </c>
      <c r="E71" s="124" t="s">
        <v>657</v>
      </c>
      <c r="G71" s="124" t="str">
        <f t="shared" si="1"/>
        <v>L71</v>
      </c>
      <c r="H71" s="141"/>
    </row>
    <row r="72" spans="1:8" x14ac:dyDescent="0.2">
      <c r="A72" s="129">
        <v>52</v>
      </c>
      <c r="B72" s="131" t="str">
        <f t="shared" si="2"/>
        <v>Jan</v>
      </c>
      <c r="C72" s="56" t="s">
        <v>69</v>
      </c>
      <c r="E72" s="124" t="s">
        <v>658</v>
      </c>
      <c r="G72" s="124" t="str">
        <f t="shared" si="1"/>
        <v>L72</v>
      </c>
      <c r="H72" s="141"/>
    </row>
    <row r="73" spans="1:8" x14ac:dyDescent="0.2">
      <c r="A73" s="129">
        <v>53</v>
      </c>
      <c r="B73" s="131" t="str">
        <f t="shared" si="2"/>
        <v>Feb</v>
      </c>
      <c r="C73" s="56" t="s">
        <v>70</v>
      </c>
      <c r="E73" s="124" t="s">
        <v>659</v>
      </c>
      <c r="G73" s="124" t="str">
        <f t="shared" si="1"/>
        <v>L73</v>
      </c>
      <c r="H73" s="141"/>
    </row>
    <row r="74" spans="1:8" x14ac:dyDescent="0.2">
      <c r="A74" s="129">
        <v>54</v>
      </c>
      <c r="B74" s="131" t="str">
        <f t="shared" si="2"/>
        <v>Mrz</v>
      </c>
      <c r="C74" s="56" t="s">
        <v>71</v>
      </c>
      <c r="E74" s="124" t="s">
        <v>660</v>
      </c>
      <c r="G74" s="124" t="str">
        <f t="shared" si="1"/>
        <v>L74</v>
      </c>
      <c r="H74" s="141"/>
    </row>
    <row r="75" spans="1:8" x14ac:dyDescent="0.2">
      <c r="A75" s="129">
        <v>55</v>
      </c>
      <c r="B75" s="131" t="str">
        <f t="shared" si="2"/>
        <v>Apr</v>
      </c>
      <c r="C75" s="56" t="s">
        <v>72</v>
      </c>
      <c r="E75" s="124" t="s">
        <v>661</v>
      </c>
      <c r="G75" s="124" t="str">
        <f t="shared" si="1"/>
        <v>L75</v>
      </c>
      <c r="H75" s="141"/>
    </row>
    <row r="76" spans="1:8" x14ac:dyDescent="0.2">
      <c r="A76" s="129">
        <v>56</v>
      </c>
      <c r="B76" s="131" t="str">
        <f t="shared" si="2"/>
        <v>Mai</v>
      </c>
      <c r="C76" s="56" t="s">
        <v>73</v>
      </c>
      <c r="E76" s="124" t="s">
        <v>650</v>
      </c>
      <c r="G76" s="124" t="str">
        <f t="shared" si="1"/>
        <v>L76</v>
      </c>
      <c r="H76" s="141"/>
    </row>
    <row r="77" spans="1:8" x14ac:dyDescent="0.2">
      <c r="A77" s="129">
        <v>57</v>
      </c>
      <c r="B77" s="131" t="str">
        <f t="shared" si="2"/>
        <v>Jun</v>
      </c>
      <c r="C77" s="56" t="s">
        <v>74</v>
      </c>
      <c r="E77" s="124" t="s">
        <v>662</v>
      </c>
      <c r="G77" s="124" t="str">
        <f t="shared" si="1"/>
        <v>L77</v>
      </c>
      <c r="H77" s="141"/>
    </row>
    <row r="78" spans="1:8" x14ac:dyDescent="0.2">
      <c r="A78" s="129">
        <v>58</v>
      </c>
      <c r="B78" s="131" t="str">
        <f t="shared" si="2"/>
        <v>Jul</v>
      </c>
      <c r="C78" s="56" t="s">
        <v>75</v>
      </c>
      <c r="D78" s="124" t="s">
        <v>296</v>
      </c>
      <c r="E78" s="124" t="s">
        <v>663</v>
      </c>
      <c r="F78" s="124" t="s">
        <v>296</v>
      </c>
      <c r="G78" s="124" t="str">
        <f t="shared" si="1"/>
        <v>L78</v>
      </c>
      <c r="H78" s="141"/>
    </row>
    <row r="79" spans="1:8" x14ac:dyDescent="0.2">
      <c r="A79" s="129">
        <v>59</v>
      </c>
      <c r="B79" s="131" t="str">
        <f t="shared" si="2"/>
        <v>Aug</v>
      </c>
      <c r="C79" s="56" t="s">
        <v>76</v>
      </c>
      <c r="D79" s="124" t="s">
        <v>296</v>
      </c>
      <c r="E79" s="124" t="s">
        <v>664</v>
      </c>
      <c r="F79" s="124" t="s">
        <v>296</v>
      </c>
      <c r="G79" s="124" t="str">
        <f t="shared" si="1"/>
        <v>L79</v>
      </c>
      <c r="H79" s="141"/>
    </row>
    <row r="80" spans="1:8" x14ac:dyDescent="0.2">
      <c r="A80" s="129">
        <v>60</v>
      </c>
      <c r="B80" s="131" t="str">
        <f t="shared" si="2"/>
        <v>Sep</v>
      </c>
      <c r="C80" s="56" t="s">
        <v>77</v>
      </c>
      <c r="D80" s="124" t="s">
        <v>296</v>
      </c>
      <c r="E80" s="124" t="s">
        <v>665</v>
      </c>
      <c r="F80" s="124" t="s">
        <v>296</v>
      </c>
      <c r="G80" s="124" t="str">
        <f t="shared" si="1"/>
        <v>L80</v>
      </c>
      <c r="H80" s="141"/>
    </row>
    <row r="81" spans="1:8" x14ac:dyDescent="0.2">
      <c r="A81" s="129">
        <v>61</v>
      </c>
      <c r="B81" s="131" t="str">
        <f t="shared" si="2"/>
        <v>Okt</v>
      </c>
      <c r="C81" s="56" t="s">
        <v>78</v>
      </c>
      <c r="D81" s="124" t="s">
        <v>296</v>
      </c>
      <c r="E81" s="124" t="s">
        <v>666</v>
      </c>
      <c r="F81" s="124" t="s">
        <v>296</v>
      </c>
      <c r="G81" s="124" t="str">
        <f t="shared" si="1"/>
        <v>L81</v>
      </c>
      <c r="H81" s="141"/>
    </row>
    <row r="82" spans="1:8" x14ac:dyDescent="0.2">
      <c r="A82" s="129">
        <v>62</v>
      </c>
      <c r="B82" s="131" t="str">
        <f t="shared" si="2"/>
        <v>Nov</v>
      </c>
      <c r="C82" s="56" t="s">
        <v>79</v>
      </c>
      <c r="D82" s="124" t="s">
        <v>296</v>
      </c>
      <c r="E82" s="124" t="s">
        <v>667</v>
      </c>
      <c r="F82" s="124" t="s">
        <v>296</v>
      </c>
      <c r="G82" s="124" t="str">
        <f t="shared" si="1"/>
        <v>L82</v>
      </c>
      <c r="H82" s="141"/>
    </row>
    <row r="83" spans="1:8" x14ac:dyDescent="0.2">
      <c r="A83" s="129">
        <v>63</v>
      </c>
      <c r="B83" s="131" t="str">
        <f t="shared" si="2"/>
        <v>Dez</v>
      </c>
      <c r="C83" s="56" t="s">
        <v>80</v>
      </c>
      <c r="D83" s="124" t="s">
        <v>296</v>
      </c>
      <c r="E83" s="124" t="s">
        <v>668</v>
      </c>
      <c r="F83" s="124" t="s">
        <v>296</v>
      </c>
      <c r="G83" s="124" t="str">
        <f t="shared" si="1"/>
        <v>L83</v>
      </c>
      <c r="H83" s="141"/>
    </row>
    <row r="84" spans="1:8" x14ac:dyDescent="0.2">
      <c r="A84" s="129">
        <v>64</v>
      </c>
      <c r="B84" s="131" t="str">
        <f t="shared" si="2"/>
        <v>.</v>
      </c>
      <c r="C84" s="124" t="s">
        <v>296</v>
      </c>
      <c r="D84" s="124" t="s">
        <v>296</v>
      </c>
      <c r="E84" s="124" t="s">
        <v>296</v>
      </c>
      <c r="F84" s="124" t="s">
        <v>296</v>
      </c>
      <c r="G84" s="124" t="str">
        <f t="shared" si="1"/>
        <v>L84</v>
      </c>
      <c r="H84" s="141"/>
    </row>
    <row r="85" spans="1:8" x14ac:dyDescent="0.2">
      <c r="A85" s="129">
        <v>65</v>
      </c>
      <c r="B85" s="131" t="str">
        <f t="shared" si="2"/>
        <v>Tag</v>
      </c>
      <c r="C85" s="124" t="s">
        <v>303</v>
      </c>
      <c r="D85" s="124" t="s">
        <v>296</v>
      </c>
      <c r="E85" s="124" t="s">
        <v>642</v>
      </c>
      <c r="F85" s="124" t="s">
        <v>296</v>
      </c>
      <c r="G85" s="124" t="str">
        <f t="shared" si="1"/>
        <v>L85</v>
      </c>
      <c r="H85" s="141"/>
    </row>
    <row r="86" spans="1:8" x14ac:dyDescent="0.2">
      <c r="A86" s="129">
        <v>66</v>
      </c>
      <c r="B86" s="131" t="str">
        <f t="shared" si="2"/>
        <v>MO</v>
      </c>
      <c r="C86" s="124" t="s">
        <v>60</v>
      </c>
      <c r="D86" s="124" t="s">
        <v>296</v>
      </c>
      <c r="E86" s="124" t="s">
        <v>669</v>
      </c>
      <c r="F86" s="124" t="s">
        <v>296</v>
      </c>
      <c r="G86" s="124" t="str">
        <f t="shared" si="1"/>
        <v>L86</v>
      </c>
      <c r="H86" s="141"/>
    </row>
    <row r="87" spans="1:8" x14ac:dyDescent="0.2">
      <c r="A87" s="129">
        <v>67</v>
      </c>
      <c r="B87" s="131" t="str">
        <f t="shared" ref="B87:B118" si="3">HLOOKUP($B$13,$C$21:$G$820,A87,FALSE)</f>
        <v>DI</v>
      </c>
      <c r="C87" s="124" t="s">
        <v>61</v>
      </c>
      <c r="D87" s="124" t="s">
        <v>296</v>
      </c>
      <c r="E87" s="124" t="s">
        <v>660</v>
      </c>
      <c r="F87" s="124" t="s">
        <v>296</v>
      </c>
      <c r="G87" s="124" t="str">
        <f t="shared" si="1"/>
        <v>L87</v>
      </c>
      <c r="H87" s="141"/>
    </row>
    <row r="88" spans="1:8" x14ac:dyDescent="0.2">
      <c r="A88" s="129">
        <v>68</v>
      </c>
      <c r="B88" s="131" t="str">
        <f t="shared" si="3"/>
        <v>MI</v>
      </c>
      <c r="C88" s="124" t="s">
        <v>62</v>
      </c>
      <c r="D88" s="124" t="s">
        <v>296</v>
      </c>
      <c r="E88" s="124" t="s">
        <v>670</v>
      </c>
      <c r="F88" s="124" t="s">
        <v>296</v>
      </c>
      <c r="G88" s="124" t="str">
        <f t="shared" si="1"/>
        <v>L88</v>
      </c>
      <c r="H88" s="141"/>
    </row>
    <row r="89" spans="1:8" x14ac:dyDescent="0.2">
      <c r="A89" s="129">
        <v>69</v>
      </c>
      <c r="B89" s="131" t="str">
        <f t="shared" si="3"/>
        <v>DO</v>
      </c>
      <c r="C89" s="56" t="s">
        <v>63</v>
      </c>
      <c r="D89" s="124" t="s">
        <v>296</v>
      </c>
      <c r="E89" s="124" t="s">
        <v>671</v>
      </c>
      <c r="F89" s="124" t="s">
        <v>296</v>
      </c>
      <c r="G89" s="124" t="str">
        <f t="shared" ref="G89:G152" si="4">"L"&amp;ROW()</f>
        <v>L89</v>
      </c>
      <c r="H89" s="141"/>
    </row>
    <row r="90" spans="1:8" x14ac:dyDescent="0.2">
      <c r="A90" s="129">
        <v>70</v>
      </c>
      <c r="B90" s="131" t="str">
        <f t="shared" si="3"/>
        <v>FR</v>
      </c>
      <c r="C90" s="124" t="s">
        <v>64</v>
      </c>
      <c r="D90" s="124" t="s">
        <v>296</v>
      </c>
      <c r="E90" s="124" t="s">
        <v>672</v>
      </c>
      <c r="F90" s="124" t="s">
        <v>296</v>
      </c>
      <c r="G90" s="124" t="str">
        <f t="shared" si="4"/>
        <v>L90</v>
      </c>
      <c r="H90" s="141"/>
    </row>
    <row r="91" spans="1:8" x14ac:dyDescent="0.2">
      <c r="A91" s="129">
        <v>71</v>
      </c>
      <c r="B91" s="131" t="str">
        <f t="shared" si="3"/>
        <v>SA</v>
      </c>
      <c r="C91" s="124" t="s">
        <v>581</v>
      </c>
      <c r="D91" s="124" t="s">
        <v>296</v>
      </c>
      <c r="E91" s="124" t="s">
        <v>673</v>
      </c>
      <c r="F91" s="124" t="s">
        <v>296</v>
      </c>
      <c r="G91" s="124" t="str">
        <f t="shared" si="4"/>
        <v>L91</v>
      </c>
      <c r="H91" s="141"/>
    </row>
    <row r="92" spans="1:8" x14ac:dyDescent="0.2">
      <c r="A92" s="129">
        <v>72</v>
      </c>
      <c r="B92" s="131" t="str">
        <f t="shared" si="3"/>
        <v>SO</v>
      </c>
      <c r="C92" s="124" t="s">
        <v>582</v>
      </c>
      <c r="D92" s="124" t="s">
        <v>296</v>
      </c>
      <c r="E92" s="124" t="s">
        <v>674</v>
      </c>
      <c r="F92" s="124" t="s">
        <v>296</v>
      </c>
      <c r="G92" s="124" t="str">
        <f t="shared" si="4"/>
        <v>L92</v>
      </c>
      <c r="H92" s="141"/>
    </row>
    <row r="93" spans="1:8" x14ac:dyDescent="0.2">
      <c r="A93" s="129">
        <v>73</v>
      </c>
      <c r="B93" s="131" t="str">
        <f t="shared" si="3"/>
        <v>.</v>
      </c>
      <c r="C93" s="124" t="s">
        <v>296</v>
      </c>
      <c r="D93" s="124" t="s">
        <v>296</v>
      </c>
      <c r="E93" s="124" t="s">
        <v>296</v>
      </c>
      <c r="F93" s="124" t="s">
        <v>296</v>
      </c>
      <c r="G93" s="124" t="str">
        <f t="shared" si="4"/>
        <v>L93</v>
      </c>
      <c r="H93" s="141"/>
    </row>
    <row r="94" spans="1:8" x14ac:dyDescent="0.2">
      <c r="A94" s="129">
        <v>74</v>
      </c>
      <c r="B94" s="131" t="str">
        <f t="shared" si="3"/>
        <v>.</v>
      </c>
      <c r="C94" s="124" t="s">
        <v>296</v>
      </c>
      <c r="D94" s="124" t="s">
        <v>296</v>
      </c>
      <c r="E94" s="124" t="s">
        <v>296</v>
      </c>
      <c r="F94" s="124" t="s">
        <v>296</v>
      </c>
      <c r="G94" s="124" t="str">
        <f t="shared" si="4"/>
        <v>L94</v>
      </c>
      <c r="H94" s="141"/>
    </row>
    <row r="95" spans="1:8" x14ac:dyDescent="0.2">
      <c r="A95" s="129">
        <v>75</v>
      </c>
      <c r="B95" s="131" t="str">
        <f t="shared" si="3"/>
        <v>Feiertagskalender</v>
      </c>
      <c r="C95" s="56" t="s">
        <v>306</v>
      </c>
      <c r="D95" s="124" t="s">
        <v>296</v>
      </c>
      <c r="E95" s="124" t="s">
        <v>675</v>
      </c>
      <c r="F95" s="124" t="s">
        <v>296</v>
      </c>
      <c r="G95" s="124" t="str">
        <f t="shared" si="4"/>
        <v>L95</v>
      </c>
      <c r="H95" s="141"/>
    </row>
    <row r="96" spans="1:8" x14ac:dyDescent="0.2">
      <c r="A96" s="129">
        <v>76</v>
      </c>
      <c r="B96" s="131" t="str">
        <f t="shared" si="3"/>
        <v>Feiertage mit einem kleinen x ankreuzen</v>
      </c>
      <c r="C96" s="56" t="s">
        <v>307</v>
      </c>
      <c r="D96" s="124" t="s">
        <v>296</v>
      </c>
      <c r="E96" s="124" t="s">
        <v>676</v>
      </c>
      <c r="F96" s="124" t="s">
        <v>296</v>
      </c>
      <c r="G96" s="124" t="str">
        <f t="shared" si="4"/>
        <v>L96</v>
      </c>
      <c r="H96" s="141"/>
    </row>
    <row r="97" spans="1:8" x14ac:dyDescent="0.2">
      <c r="A97" s="129">
        <v>77</v>
      </c>
      <c r="B97" s="131" t="str">
        <f t="shared" si="3"/>
        <v>.</v>
      </c>
      <c r="C97" s="124" t="s">
        <v>296</v>
      </c>
      <c r="D97" s="124" t="s">
        <v>296</v>
      </c>
      <c r="E97" s="124" t="s">
        <v>296</v>
      </c>
      <c r="F97" s="124" t="s">
        <v>296</v>
      </c>
      <c r="G97" s="124" t="str">
        <f t="shared" si="4"/>
        <v>L97</v>
      </c>
      <c r="H97" s="141"/>
    </row>
    <row r="98" spans="1:8" x14ac:dyDescent="0.2">
      <c r="A98" s="129">
        <v>78</v>
      </c>
      <c r="B98" s="131" t="str">
        <f t="shared" si="3"/>
        <v>.</v>
      </c>
      <c r="C98" s="124" t="s">
        <v>296</v>
      </c>
      <c r="D98" s="124" t="s">
        <v>296</v>
      </c>
      <c r="E98" s="124" t="s">
        <v>296</v>
      </c>
      <c r="F98" s="124" t="s">
        <v>296</v>
      </c>
      <c r="G98" s="124" t="str">
        <f t="shared" si="4"/>
        <v>L98</v>
      </c>
      <c r="H98" s="141"/>
    </row>
    <row r="99" spans="1:8" x14ac:dyDescent="0.2">
      <c r="A99" s="129">
        <v>79</v>
      </c>
      <c r="B99" s="131" t="str">
        <f t="shared" si="3"/>
        <v>.</v>
      </c>
      <c r="C99" s="124" t="s">
        <v>296</v>
      </c>
      <c r="D99" s="124" t="s">
        <v>296</v>
      </c>
      <c r="E99" s="124" t="s">
        <v>296</v>
      </c>
      <c r="F99" s="124" t="s">
        <v>296</v>
      </c>
      <c r="G99" s="124" t="str">
        <f t="shared" si="4"/>
        <v>L99</v>
      </c>
      <c r="H99" s="141"/>
    </row>
    <row r="100" spans="1:8" x14ac:dyDescent="0.2">
      <c r="A100" s="129">
        <v>80</v>
      </c>
      <c r="B100" s="131" t="str">
        <f t="shared" si="3"/>
        <v>Firma</v>
      </c>
      <c r="C100" s="56" t="s">
        <v>308</v>
      </c>
      <c r="D100" s="124" t="s">
        <v>296</v>
      </c>
      <c r="E100" s="124" t="s">
        <v>616</v>
      </c>
      <c r="F100" s="124" t="s">
        <v>296</v>
      </c>
      <c r="G100" s="124" t="str">
        <f t="shared" si="4"/>
        <v>L100</v>
      </c>
      <c r="H100" s="141"/>
    </row>
    <row r="101" spans="1:8" x14ac:dyDescent="0.2">
      <c r="A101" s="129">
        <v>81</v>
      </c>
      <c r="B101" s="131" t="str">
        <f t="shared" si="3"/>
        <v>Mitarbeiter:in</v>
      </c>
      <c r="C101" s="56" t="s">
        <v>309</v>
      </c>
      <c r="D101" s="124" t="s">
        <v>296</v>
      </c>
      <c r="E101" s="124" t="s">
        <v>617</v>
      </c>
      <c r="F101" s="124" t="s">
        <v>296</v>
      </c>
      <c r="G101" s="124" t="str">
        <f t="shared" si="4"/>
        <v>L101</v>
      </c>
      <c r="H101" s="141"/>
    </row>
    <row r="102" spans="1:8" x14ac:dyDescent="0.2">
      <c r="A102" s="129">
        <v>82</v>
      </c>
      <c r="B102" s="131" t="str">
        <f t="shared" si="3"/>
        <v>Vorjahr (Übertrag)</v>
      </c>
      <c r="C102" s="56" t="s">
        <v>310</v>
      </c>
      <c r="D102" s="124" t="s">
        <v>296</v>
      </c>
      <c r="E102" s="124" t="s">
        <v>627</v>
      </c>
      <c r="F102" s="124" t="s">
        <v>296</v>
      </c>
      <c r="G102" s="124" t="str">
        <f t="shared" si="4"/>
        <v>L102</v>
      </c>
      <c r="H102" s="141"/>
    </row>
    <row r="103" spans="1:8" x14ac:dyDescent="0.2">
      <c r="A103" s="129">
        <v>83</v>
      </c>
      <c r="B103" s="131" t="str">
        <f t="shared" si="3"/>
        <v>laufendes Jahr</v>
      </c>
      <c r="C103" s="56" t="s">
        <v>311</v>
      </c>
      <c r="D103" s="124" t="s">
        <v>296</v>
      </c>
      <c r="E103" s="124" t="s">
        <v>629</v>
      </c>
      <c r="F103" s="124" t="s">
        <v>296</v>
      </c>
      <c r="G103" s="124" t="str">
        <f t="shared" si="4"/>
        <v>L103</v>
      </c>
      <c r="H103" s="141"/>
    </row>
    <row r="104" spans="1:8" x14ac:dyDescent="0.2">
      <c r="A104" s="129">
        <v>84</v>
      </c>
      <c r="B104" s="131" t="str">
        <f t="shared" si="3"/>
        <v>Stundensaldo</v>
      </c>
      <c r="C104" s="56" t="s">
        <v>312</v>
      </c>
      <c r="D104" s="124" t="s">
        <v>296</v>
      </c>
      <c r="E104" s="124" t="s">
        <v>628</v>
      </c>
      <c r="F104" s="124" t="s">
        <v>296</v>
      </c>
      <c r="G104" s="124" t="str">
        <f t="shared" si="4"/>
        <v>L104</v>
      </c>
      <c r="H104" s="141"/>
    </row>
    <row r="105" spans="1:8" x14ac:dyDescent="0.2">
      <c r="A105" s="129">
        <v>85</v>
      </c>
      <c r="B105" s="131" t="str">
        <f t="shared" si="3"/>
        <v>Ferien</v>
      </c>
      <c r="C105" s="56" t="s">
        <v>166</v>
      </c>
      <c r="D105" s="124" t="s">
        <v>296</v>
      </c>
      <c r="E105" s="124" t="s">
        <v>630</v>
      </c>
      <c r="F105" s="124" t="s">
        <v>296</v>
      </c>
      <c r="G105" s="124" t="str">
        <f t="shared" si="4"/>
        <v>L105</v>
      </c>
      <c r="H105" s="141"/>
    </row>
    <row r="106" spans="1:8" x14ac:dyDescent="0.2">
      <c r="A106" s="129">
        <v>86</v>
      </c>
      <c r="B106" s="131" t="str">
        <f t="shared" si="3"/>
        <v>Feriensaldo</v>
      </c>
      <c r="C106" s="56" t="s">
        <v>313</v>
      </c>
      <c r="D106" s="124" t="s">
        <v>296</v>
      </c>
      <c r="E106" s="124" t="s">
        <v>631</v>
      </c>
      <c r="F106" s="124" t="s">
        <v>296</v>
      </c>
      <c r="G106" s="124" t="str">
        <f t="shared" si="4"/>
        <v>L106</v>
      </c>
      <c r="H106" s="141"/>
    </row>
    <row r="107" spans="1:8" x14ac:dyDescent="0.2">
      <c r="A107" s="129">
        <v>87</v>
      </c>
      <c r="B107" s="131" t="str">
        <f t="shared" si="3"/>
        <v>Ferienguthaben</v>
      </c>
      <c r="C107" s="56" t="s">
        <v>314</v>
      </c>
      <c r="D107" s="124" t="s">
        <v>296</v>
      </c>
      <c r="E107" s="124" t="s">
        <v>684</v>
      </c>
      <c r="F107" s="124" t="s">
        <v>296</v>
      </c>
      <c r="G107" s="124" t="str">
        <f t="shared" si="4"/>
        <v>L107</v>
      </c>
      <c r="H107" s="141"/>
    </row>
    <row r="108" spans="1:8" x14ac:dyDescent="0.2">
      <c r="A108" s="129">
        <v>88</v>
      </c>
      <c r="B108" s="131" t="str">
        <f t="shared" si="3"/>
        <v>Ferien automatisch berechnen</v>
      </c>
      <c r="C108" s="56" t="s">
        <v>501</v>
      </c>
      <c r="D108" s="124" t="s">
        <v>296</v>
      </c>
      <c r="E108" s="124" t="s">
        <v>677</v>
      </c>
      <c r="F108" s="124" t="s">
        <v>296</v>
      </c>
      <c r="G108" s="124" t="str">
        <f t="shared" si="4"/>
        <v>L108</v>
      </c>
      <c r="H108" s="141"/>
    </row>
    <row r="109" spans="1:8" x14ac:dyDescent="0.2">
      <c r="A109" s="129">
        <v>89</v>
      </c>
      <c r="B109" s="131" t="str">
        <f t="shared" si="3"/>
        <v>.</v>
      </c>
      <c r="C109" s="124" t="s">
        <v>296</v>
      </c>
      <c r="D109" s="124" t="s">
        <v>296</v>
      </c>
      <c r="E109" s="124" t="s">
        <v>296</v>
      </c>
      <c r="F109" s="124" t="s">
        <v>296</v>
      </c>
      <c r="G109" s="124" t="str">
        <f t="shared" si="4"/>
        <v>L109</v>
      </c>
      <c r="H109" s="141"/>
    </row>
    <row r="110" spans="1:8" x14ac:dyDescent="0.2">
      <c r="A110" s="129">
        <v>90</v>
      </c>
      <c r="B110" s="131" t="str">
        <f t="shared" si="3"/>
        <v>Pensum (Beschäftigungsgrad)</v>
      </c>
      <c r="C110" s="56" t="s">
        <v>315</v>
      </c>
      <c r="D110" s="124" t="s">
        <v>296</v>
      </c>
      <c r="E110" s="124" t="s">
        <v>632</v>
      </c>
      <c r="F110" s="124" t="s">
        <v>296</v>
      </c>
      <c r="G110" s="124" t="str">
        <f t="shared" si="4"/>
        <v>L110</v>
      </c>
      <c r="H110" s="141"/>
    </row>
    <row r="111" spans="1:8" ht="38.25" x14ac:dyDescent="0.2">
      <c r="A111" s="129">
        <v>91</v>
      </c>
      <c r="B111" s="131" t="str">
        <f t="shared" si="3"/>
        <v>Bitte für jeden Arbeitstag das passende Pensum angeben | für arbeitsfreie Tage 0 eingeben</v>
      </c>
      <c r="C111" s="56" t="s">
        <v>316</v>
      </c>
      <c r="D111" s="124" t="s">
        <v>296</v>
      </c>
      <c r="E111" s="124" t="s">
        <v>678</v>
      </c>
      <c r="F111" s="124" t="s">
        <v>296</v>
      </c>
      <c r="G111" s="124" t="str">
        <f t="shared" si="4"/>
        <v>L111</v>
      </c>
      <c r="H111" s="141"/>
    </row>
    <row r="112" spans="1:8" x14ac:dyDescent="0.2">
      <c r="A112" s="129">
        <v>92</v>
      </c>
      <c r="B112" s="131" t="str">
        <f t="shared" si="3"/>
        <v>alle Monate gleich</v>
      </c>
      <c r="C112" s="56" t="s">
        <v>317</v>
      </c>
      <c r="D112" s="124" t="s">
        <v>296</v>
      </c>
      <c r="E112" s="124" t="s">
        <v>679</v>
      </c>
      <c r="F112" s="124" t="s">
        <v>296</v>
      </c>
      <c r="G112" s="124" t="str">
        <f t="shared" si="4"/>
        <v>L112</v>
      </c>
      <c r="H112" s="141"/>
    </row>
    <row r="113" spans="1:8" x14ac:dyDescent="0.2">
      <c r="A113" s="129">
        <v>93</v>
      </c>
      <c r="B113" s="131" t="str">
        <f t="shared" si="3"/>
        <v xml:space="preserve">   alle Tage gleich</v>
      </c>
      <c r="C113" s="56" t="s">
        <v>318</v>
      </c>
      <c r="D113" s="124" t="s">
        <v>296</v>
      </c>
      <c r="E113" s="124" t="s">
        <v>680</v>
      </c>
      <c r="F113" s="124" t="s">
        <v>296</v>
      </c>
      <c r="G113" s="124" t="str">
        <f t="shared" si="4"/>
        <v>L113</v>
      </c>
      <c r="H113" s="141"/>
    </row>
    <row r="114" spans="1:8" x14ac:dyDescent="0.2">
      <c r="A114" s="129">
        <v>94</v>
      </c>
      <c r="B114" s="131" t="str">
        <f t="shared" si="3"/>
        <v>Umrechnungshilfe Tagesarbeitszeit</v>
      </c>
      <c r="C114" s="56" t="s">
        <v>319</v>
      </c>
      <c r="D114" s="124" t="s">
        <v>296</v>
      </c>
      <c r="E114" s="124" t="s">
        <v>681</v>
      </c>
      <c r="F114" s="124" t="s">
        <v>296</v>
      </c>
      <c r="G114" s="124" t="str">
        <f t="shared" si="4"/>
        <v>L114</v>
      </c>
      <c r="H114" s="141"/>
    </row>
    <row r="115" spans="1:8" x14ac:dyDescent="0.2">
      <c r="A115" s="129">
        <v>95</v>
      </c>
      <c r="B115" s="131" t="str">
        <f t="shared" si="3"/>
        <v>.</v>
      </c>
      <c r="C115" s="124" t="s">
        <v>296</v>
      </c>
      <c r="D115" s="124" t="s">
        <v>296</v>
      </c>
      <c r="E115" s="124" t="s">
        <v>296</v>
      </c>
      <c r="F115" s="124" t="s">
        <v>296</v>
      </c>
      <c r="G115" s="124" t="str">
        <f t="shared" si="4"/>
        <v>L115</v>
      </c>
      <c r="H115" s="141"/>
    </row>
    <row r="116" spans="1:8" x14ac:dyDescent="0.2">
      <c r="A116" s="129">
        <v>96</v>
      </c>
      <c r="B116" s="131" t="str">
        <f t="shared" si="3"/>
        <v>.</v>
      </c>
      <c r="C116" s="124" t="s">
        <v>296</v>
      </c>
      <c r="D116" s="124" t="s">
        <v>296</v>
      </c>
      <c r="E116" s="124" t="s">
        <v>296</v>
      </c>
      <c r="F116" s="124" t="s">
        <v>296</v>
      </c>
      <c r="G116" s="124" t="str">
        <f t="shared" si="4"/>
        <v>L116</v>
      </c>
      <c r="H116" s="141"/>
    </row>
    <row r="117" spans="1:8" x14ac:dyDescent="0.2">
      <c r="A117" s="129">
        <v>97</v>
      </c>
      <c r="B117" s="131" t="str">
        <f t="shared" si="3"/>
        <v>ja</v>
      </c>
      <c r="C117" s="56" t="s">
        <v>320</v>
      </c>
      <c r="D117" s="124" t="s">
        <v>296</v>
      </c>
      <c r="E117" s="124" t="s">
        <v>682</v>
      </c>
      <c r="F117" s="124" t="s">
        <v>296</v>
      </c>
      <c r="G117" s="124" t="str">
        <f t="shared" si="4"/>
        <v>L117</v>
      </c>
      <c r="H117" s="141"/>
    </row>
    <row r="118" spans="1:8" x14ac:dyDescent="0.2">
      <c r="A118" s="129">
        <v>98</v>
      </c>
      <c r="B118" s="131" t="str">
        <f t="shared" si="3"/>
        <v>nein</v>
      </c>
      <c r="C118" s="56" t="s">
        <v>33</v>
      </c>
      <c r="D118" s="124" t="s">
        <v>296</v>
      </c>
      <c r="E118" s="124" t="s">
        <v>683</v>
      </c>
      <c r="F118" s="124" t="s">
        <v>296</v>
      </c>
      <c r="G118" s="124" t="str">
        <f t="shared" si="4"/>
        <v>L118</v>
      </c>
      <c r="H118" s="141"/>
    </row>
    <row r="119" spans="1:8" x14ac:dyDescent="0.2">
      <c r="A119" s="129">
        <v>99</v>
      </c>
      <c r="B119" s="131" t="str">
        <f t="shared" ref="B119:B150" si="5">HLOOKUP($B$13,$C$21:$G$820,A119,FALSE)</f>
        <v>.</v>
      </c>
      <c r="C119" s="124" t="s">
        <v>296</v>
      </c>
      <c r="D119" s="124" t="s">
        <v>296</v>
      </c>
      <c r="E119" s="124" t="s">
        <v>296</v>
      </c>
      <c r="F119" s="124" t="s">
        <v>296</v>
      </c>
      <c r="G119" s="124" t="str">
        <f t="shared" si="4"/>
        <v>L119</v>
      </c>
      <c r="H119" s="141"/>
    </row>
    <row r="120" spans="1:8" x14ac:dyDescent="0.2">
      <c r="A120" s="129">
        <v>100</v>
      </c>
      <c r="B120" s="131" t="str">
        <f t="shared" si="5"/>
        <v>Ø AT</v>
      </c>
      <c r="C120" s="56" t="s">
        <v>65</v>
      </c>
      <c r="D120" s="124" t="s">
        <v>296</v>
      </c>
      <c r="E120" s="124" t="s">
        <v>689</v>
      </c>
      <c r="F120" s="124" t="s">
        <v>296</v>
      </c>
      <c r="G120" s="124" t="str">
        <f t="shared" si="4"/>
        <v>L120</v>
      </c>
      <c r="H120" s="141"/>
    </row>
    <row r="121" spans="1:8" x14ac:dyDescent="0.2">
      <c r="A121" s="129">
        <v>101</v>
      </c>
      <c r="B121" s="131" t="str">
        <f t="shared" si="5"/>
        <v>Ø Std/Tag</v>
      </c>
      <c r="C121" s="56" t="s">
        <v>66</v>
      </c>
      <c r="D121" s="124" t="s">
        <v>296</v>
      </c>
      <c r="E121" s="124" t="s">
        <v>688</v>
      </c>
      <c r="F121" s="124" t="s">
        <v>296</v>
      </c>
      <c r="G121" s="124" t="str">
        <f t="shared" si="4"/>
        <v>L121</v>
      </c>
      <c r="H121" s="141"/>
    </row>
    <row r="122" spans="1:8" x14ac:dyDescent="0.2">
      <c r="A122" s="129">
        <v>102</v>
      </c>
      <c r="B122" s="131" t="str">
        <f t="shared" si="5"/>
        <v>effekt. BG</v>
      </c>
      <c r="C122" s="56" t="s">
        <v>67</v>
      </c>
      <c r="D122" s="124" t="s">
        <v>296</v>
      </c>
      <c r="E122" s="124" t="s">
        <v>745</v>
      </c>
      <c r="F122" s="124" t="s">
        <v>296</v>
      </c>
      <c r="G122" s="124" t="str">
        <f t="shared" si="4"/>
        <v>L122</v>
      </c>
      <c r="H122" s="141"/>
    </row>
    <row r="123" spans="1:8" x14ac:dyDescent="0.2">
      <c r="A123" s="129">
        <v>103</v>
      </c>
      <c r="B123" s="131" t="str">
        <f t="shared" si="5"/>
        <v>.</v>
      </c>
      <c r="C123" s="124" t="s">
        <v>296</v>
      </c>
      <c r="D123" s="124" t="s">
        <v>296</v>
      </c>
      <c r="E123" s="124" t="s">
        <v>296</v>
      </c>
      <c r="F123" s="124" t="s">
        <v>296</v>
      </c>
      <c r="G123" s="124" t="str">
        <f t="shared" si="4"/>
        <v>L123</v>
      </c>
      <c r="H123" s="141"/>
    </row>
    <row r="124" spans="1:8" x14ac:dyDescent="0.2">
      <c r="A124" s="129">
        <v>104</v>
      </c>
      <c r="B124" s="131" t="str">
        <f t="shared" si="5"/>
        <v>.</v>
      </c>
      <c r="C124" s="124" t="s">
        <v>296</v>
      </c>
      <c r="D124" s="124" t="s">
        <v>296</v>
      </c>
      <c r="E124" s="124" t="s">
        <v>296</v>
      </c>
      <c r="F124" s="124" t="s">
        <v>296</v>
      </c>
      <c r="G124" s="124" t="str">
        <f t="shared" si="4"/>
        <v>L124</v>
      </c>
      <c r="H124" s="141"/>
    </row>
    <row r="125" spans="1:8" x14ac:dyDescent="0.2">
      <c r="A125" s="129">
        <v>105</v>
      </c>
      <c r="B125" s="131" t="str">
        <f t="shared" si="5"/>
        <v>.</v>
      </c>
      <c r="C125" s="124" t="s">
        <v>296</v>
      </c>
      <c r="D125" s="124" t="s">
        <v>296</v>
      </c>
      <c r="E125" s="124" t="s">
        <v>296</v>
      </c>
      <c r="F125" s="124" t="s">
        <v>296</v>
      </c>
      <c r="G125" s="124" t="str">
        <f t="shared" si="4"/>
        <v>L125</v>
      </c>
      <c r="H125" s="141"/>
    </row>
    <row r="126" spans="1:8" x14ac:dyDescent="0.2">
      <c r="A126" s="129">
        <v>106</v>
      </c>
      <c r="B126" s="131" t="str">
        <f t="shared" si="5"/>
        <v>.</v>
      </c>
      <c r="C126" s="124" t="s">
        <v>296</v>
      </c>
      <c r="D126" s="124" t="s">
        <v>296</v>
      </c>
      <c r="E126" s="124" t="s">
        <v>296</v>
      </c>
      <c r="F126" s="124" t="s">
        <v>296</v>
      </c>
      <c r="G126" s="124" t="str">
        <f t="shared" si="4"/>
        <v>L126</v>
      </c>
      <c r="H126" s="141"/>
    </row>
    <row r="127" spans="1:8" x14ac:dyDescent="0.2">
      <c r="A127" s="129">
        <v>107</v>
      </c>
      <c r="B127" s="131" t="str">
        <f t="shared" si="5"/>
        <v>.</v>
      </c>
      <c r="C127" s="124" t="s">
        <v>296</v>
      </c>
      <c r="D127" s="124" t="s">
        <v>296</v>
      </c>
      <c r="E127" s="124" t="s">
        <v>296</v>
      </c>
      <c r="F127" s="124" t="s">
        <v>296</v>
      </c>
      <c r="G127" s="124" t="str">
        <f t="shared" si="4"/>
        <v>L127</v>
      </c>
      <c r="H127" s="141"/>
    </row>
    <row r="128" spans="1:8" x14ac:dyDescent="0.2">
      <c r="A128" s="129">
        <v>108</v>
      </c>
      <c r="B128" s="131" t="str">
        <f t="shared" si="5"/>
        <v>.</v>
      </c>
      <c r="C128" s="124" t="s">
        <v>296</v>
      </c>
      <c r="D128" s="124" t="s">
        <v>296</v>
      </c>
      <c r="E128" s="124" t="s">
        <v>296</v>
      </c>
      <c r="F128" s="124" t="s">
        <v>296</v>
      </c>
      <c r="G128" s="124" t="str">
        <f t="shared" si="4"/>
        <v>L128</v>
      </c>
      <c r="H128" s="141"/>
    </row>
    <row r="129" spans="1:8" x14ac:dyDescent="0.2">
      <c r="A129" s="129">
        <v>109</v>
      </c>
      <c r="B129" s="131" t="str">
        <f t="shared" si="5"/>
        <v>.</v>
      </c>
      <c r="C129" s="124" t="s">
        <v>296</v>
      </c>
      <c r="D129" s="124" t="s">
        <v>296</v>
      </c>
      <c r="E129" s="124" t="s">
        <v>296</v>
      </c>
      <c r="F129" s="124" t="s">
        <v>296</v>
      </c>
      <c r="G129" s="124" t="str">
        <f t="shared" si="4"/>
        <v>L129</v>
      </c>
      <c r="H129" s="141"/>
    </row>
    <row r="130" spans="1:8" x14ac:dyDescent="0.2">
      <c r="A130" s="129">
        <v>110</v>
      </c>
      <c r="B130" s="131" t="str">
        <f t="shared" si="5"/>
        <v>.</v>
      </c>
      <c r="C130" s="124" t="s">
        <v>296</v>
      </c>
      <c r="D130" s="124" t="s">
        <v>296</v>
      </c>
      <c r="F130" s="124" t="s">
        <v>296</v>
      </c>
      <c r="G130" s="124" t="str">
        <f t="shared" si="4"/>
        <v>L130</v>
      </c>
      <c r="H130" s="141"/>
    </row>
    <row r="131" spans="1:8" ht="25.5" x14ac:dyDescent="0.2">
      <c r="A131" s="129">
        <v>111</v>
      </c>
      <c r="B131" s="131" t="str">
        <f t="shared" si="5"/>
        <v>Zeit
hh:mm</v>
      </c>
      <c r="C131" s="56" t="s">
        <v>321</v>
      </c>
      <c r="D131" s="124" t="s">
        <v>296</v>
      </c>
      <c r="E131" s="124" t="s">
        <v>690</v>
      </c>
      <c r="F131" s="124" t="s">
        <v>296</v>
      </c>
      <c r="G131" s="124" t="str">
        <f t="shared" si="4"/>
        <v>L131</v>
      </c>
      <c r="H131" s="141"/>
    </row>
    <row r="132" spans="1:8" ht="25.5" x14ac:dyDescent="0.2">
      <c r="A132" s="129">
        <v>112</v>
      </c>
      <c r="B132" s="131" t="str">
        <f t="shared" si="5"/>
        <v>Zeit
dezimal</v>
      </c>
      <c r="C132" s="56" t="s">
        <v>322</v>
      </c>
      <c r="D132" s="124" t="s">
        <v>296</v>
      </c>
      <c r="E132" s="124" t="s">
        <v>691</v>
      </c>
      <c r="F132" s="124" t="s">
        <v>296</v>
      </c>
      <c r="G132" s="124" t="str">
        <f t="shared" si="4"/>
        <v>L132</v>
      </c>
      <c r="H132" s="141"/>
    </row>
    <row r="133" spans="1:8" x14ac:dyDescent="0.2">
      <c r="A133" s="129">
        <v>113</v>
      </c>
      <c r="B133" s="131" t="str">
        <f t="shared" si="5"/>
        <v>% bei 8 Std/Tag</v>
      </c>
      <c r="C133" s="124" t="str">
        <f>"% bei "&amp;"8 "&amp;
"Std/Tag"</f>
        <v>% bei 8 Std/Tag</v>
      </c>
      <c r="D133" s="124" t="s">
        <v>296</v>
      </c>
      <c r="E133" s="124" t="s">
        <v>692</v>
      </c>
      <c r="F133" s="124" t="s">
        <v>296</v>
      </c>
      <c r="G133" s="124" t="str">
        <f t="shared" si="4"/>
        <v>L133</v>
      </c>
      <c r="H133" s="141"/>
    </row>
    <row r="134" spans="1:8" x14ac:dyDescent="0.2">
      <c r="A134" s="129">
        <v>114</v>
      </c>
      <c r="B134" s="131" t="str">
        <f t="shared" si="5"/>
        <v>.</v>
      </c>
      <c r="C134" s="124" t="s">
        <v>296</v>
      </c>
      <c r="D134" s="124" t="s">
        <v>296</v>
      </c>
      <c r="E134" s="124" t="s">
        <v>296</v>
      </c>
      <c r="F134" s="124" t="s">
        <v>296</v>
      </c>
      <c r="G134" s="124" t="str">
        <f t="shared" si="4"/>
        <v>L134</v>
      </c>
      <c r="H134" s="141"/>
    </row>
    <row r="135" spans="1:8" x14ac:dyDescent="0.2">
      <c r="A135" s="129">
        <v>115</v>
      </c>
      <c r="B135" s="131" t="str">
        <f t="shared" si="5"/>
        <v>.</v>
      </c>
      <c r="C135" s="124" t="s">
        <v>296</v>
      </c>
      <c r="D135" s="124" t="s">
        <v>296</v>
      </c>
      <c r="E135" s="124" t="s">
        <v>296</v>
      </c>
      <c r="F135" s="124" t="s">
        <v>296</v>
      </c>
      <c r="G135" s="124" t="str">
        <f t="shared" si="4"/>
        <v>L135</v>
      </c>
      <c r="H135" s="141"/>
    </row>
    <row r="136" spans="1:8" x14ac:dyDescent="0.2">
      <c r="A136" s="129">
        <v>116</v>
      </c>
      <c r="B136" s="131" t="str">
        <f t="shared" si="5"/>
        <v>.</v>
      </c>
      <c r="C136" s="124" t="s">
        <v>296</v>
      </c>
      <c r="D136" s="124" t="s">
        <v>296</v>
      </c>
      <c r="E136" s="124" t="s">
        <v>296</v>
      </c>
      <c r="F136" s="124" t="s">
        <v>296</v>
      </c>
      <c r="G136" s="124" t="str">
        <f t="shared" si="4"/>
        <v>L136</v>
      </c>
      <c r="H136" s="141"/>
    </row>
    <row r="137" spans="1:8" x14ac:dyDescent="0.2">
      <c r="A137" s="129">
        <v>117</v>
      </c>
      <c r="B137" s="131" t="str">
        <f t="shared" si="5"/>
        <v>.</v>
      </c>
      <c r="C137" s="124" t="s">
        <v>296</v>
      </c>
      <c r="D137" s="124" t="s">
        <v>296</v>
      </c>
      <c r="E137" s="124" t="s">
        <v>296</v>
      </c>
      <c r="F137" s="124" t="s">
        <v>296</v>
      </c>
      <c r="G137" s="124" t="str">
        <f t="shared" si="4"/>
        <v>L137</v>
      </c>
      <c r="H137" s="141"/>
    </row>
    <row r="138" spans="1:8" x14ac:dyDescent="0.2">
      <c r="A138" s="129">
        <v>118</v>
      </c>
      <c r="B138" s="131" t="str">
        <f t="shared" si="5"/>
        <v>.</v>
      </c>
      <c r="C138" s="124" t="s">
        <v>296</v>
      </c>
      <c r="D138" s="124" t="s">
        <v>296</v>
      </c>
      <c r="E138" s="124" t="s">
        <v>296</v>
      </c>
      <c r="F138" s="124" t="s">
        <v>296</v>
      </c>
      <c r="G138" s="124" t="str">
        <f t="shared" si="4"/>
        <v>L138</v>
      </c>
      <c r="H138" s="141"/>
    </row>
    <row r="139" spans="1:8" x14ac:dyDescent="0.2">
      <c r="A139" s="129">
        <v>119</v>
      </c>
      <c r="B139" s="131" t="str">
        <f t="shared" si="5"/>
        <v>.</v>
      </c>
      <c r="C139" s="124" t="s">
        <v>296</v>
      </c>
      <c r="D139" s="124" t="s">
        <v>296</v>
      </c>
      <c r="E139" s="124" t="s">
        <v>296</v>
      </c>
      <c r="F139" s="124" t="s">
        <v>296</v>
      </c>
      <c r="G139" s="124" t="str">
        <f t="shared" si="4"/>
        <v>L139</v>
      </c>
      <c r="H139" s="141"/>
    </row>
    <row r="140" spans="1:8" x14ac:dyDescent="0.2">
      <c r="A140" s="129">
        <v>120</v>
      </c>
      <c r="B140" s="131" t="str">
        <f t="shared" si="5"/>
        <v>.</v>
      </c>
      <c r="C140" s="124" t="s">
        <v>296</v>
      </c>
      <c r="D140" s="124" t="s">
        <v>296</v>
      </c>
      <c r="E140" s="124" t="s">
        <v>296</v>
      </c>
      <c r="F140" s="124" t="s">
        <v>296</v>
      </c>
      <c r="G140" s="124" t="str">
        <f t="shared" si="4"/>
        <v>L140</v>
      </c>
      <c r="H140" s="141"/>
    </row>
    <row r="141" spans="1:8" x14ac:dyDescent="0.2">
      <c r="A141" s="129">
        <v>121</v>
      </c>
      <c r="B141" s="131" t="str">
        <f t="shared" si="5"/>
        <v>.</v>
      </c>
      <c r="C141" s="124" t="s">
        <v>296</v>
      </c>
      <c r="D141" s="124" t="s">
        <v>296</v>
      </c>
      <c r="E141" s="124" t="s">
        <v>296</v>
      </c>
      <c r="F141" s="124" t="s">
        <v>296</v>
      </c>
      <c r="G141" s="124" t="str">
        <f t="shared" si="4"/>
        <v>L141</v>
      </c>
      <c r="H141" s="141"/>
    </row>
    <row r="142" spans="1:8" x14ac:dyDescent="0.2">
      <c r="A142" s="129">
        <v>122</v>
      </c>
      <c r="B142" s="131" t="str">
        <f t="shared" si="5"/>
        <v>.</v>
      </c>
      <c r="C142" s="124" t="s">
        <v>296</v>
      </c>
      <c r="D142" s="124" t="s">
        <v>296</v>
      </c>
      <c r="E142" s="124" t="s">
        <v>296</v>
      </c>
      <c r="F142" s="124" t="s">
        <v>296</v>
      </c>
      <c r="G142" s="124" t="str">
        <f t="shared" si="4"/>
        <v>L142</v>
      </c>
      <c r="H142" s="141"/>
    </row>
    <row r="143" spans="1:8" x14ac:dyDescent="0.2">
      <c r="A143" s="129">
        <v>123</v>
      </c>
      <c r="B143" s="131" t="str">
        <f t="shared" si="5"/>
        <v>.</v>
      </c>
      <c r="C143" s="124" t="s">
        <v>296</v>
      </c>
      <c r="D143" s="124" t="s">
        <v>296</v>
      </c>
      <c r="E143" s="124" t="s">
        <v>296</v>
      </c>
      <c r="F143" s="124" t="s">
        <v>296</v>
      </c>
      <c r="G143" s="124" t="str">
        <f t="shared" si="4"/>
        <v>L143</v>
      </c>
      <c r="H143" s="141"/>
    </row>
    <row r="144" spans="1:8" x14ac:dyDescent="0.2">
      <c r="A144" s="129">
        <v>124</v>
      </c>
      <c r="B144" s="131" t="str">
        <f t="shared" si="5"/>
        <v>.</v>
      </c>
      <c r="C144" s="124" t="s">
        <v>296</v>
      </c>
      <c r="D144" s="124" t="s">
        <v>296</v>
      </c>
      <c r="E144" s="124" t="s">
        <v>296</v>
      </c>
      <c r="F144" s="124" t="s">
        <v>296</v>
      </c>
      <c r="G144" s="124" t="str">
        <f t="shared" si="4"/>
        <v>L144</v>
      </c>
      <c r="H144" s="141"/>
    </row>
    <row r="145" spans="1:8" x14ac:dyDescent="0.2">
      <c r="A145" s="129">
        <v>125</v>
      </c>
      <c r="B145" s="131" t="str">
        <f t="shared" si="5"/>
        <v>.</v>
      </c>
      <c r="C145" s="124" t="s">
        <v>296</v>
      </c>
      <c r="D145" s="124" t="s">
        <v>296</v>
      </c>
      <c r="E145" s="124" t="s">
        <v>296</v>
      </c>
      <c r="F145" s="124" t="s">
        <v>296</v>
      </c>
      <c r="G145" s="124" t="str">
        <f t="shared" si="4"/>
        <v>L145</v>
      </c>
      <c r="H145" s="141"/>
    </row>
    <row r="146" spans="1:8" x14ac:dyDescent="0.2">
      <c r="A146" s="129">
        <v>126</v>
      </c>
      <c r="B146" s="131" t="str">
        <f t="shared" si="5"/>
        <v>.</v>
      </c>
      <c r="C146" s="124" t="s">
        <v>296</v>
      </c>
      <c r="D146" s="124" t="s">
        <v>296</v>
      </c>
      <c r="E146" s="124" t="s">
        <v>296</v>
      </c>
      <c r="F146" s="124" t="s">
        <v>296</v>
      </c>
      <c r="G146" s="124" t="str">
        <f t="shared" si="4"/>
        <v>L146</v>
      </c>
      <c r="H146" s="141"/>
    </row>
    <row r="147" spans="1:8" x14ac:dyDescent="0.2">
      <c r="A147" s="129">
        <v>127</v>
      </c>
      <c r="B147" s="131" t="str">
        <f t="shared" si="5"/>
        <v>.</v>
      </c>
      <c r="C147" s="124" t="s">
        <v>296</v>
      </c>
      <c r="D147" s="124" t="s">
        <v>296</v>
      </c>
      <c r="E147" s="124" t="s">
        <v>296</v>
      </c>
      <c r="F147" s="124" t="s">
        <v>296</v>
      </c>
      <c r="G147" s="124" t="str">
        <f t="shared" si="4"/>
        <v>L147</v>
      </c>
      <c r="H147" s="141"/>
    </row>
    <row r="148" spans="1:8" x14ac:dyDescent="0.2">
      <c r="A148" s="129">
        <v>128</v>
      </c>
      <c r="B148" s="131" t="str">
        <f t="shared" si="5"/>
        <v>.</v>
      </c>
      <c r="C148" s="124" t="s">
        <v>296</v>
      </c>
      <c r="D148" s="124" t="s">
        <v>296</v>
      </c>
      <c r="E148" s="124" t="s">
        <v>296</v>
      </c>
      <c r="F148" s="124" t="s">
        <v>296</v>
      </c>
      <c r="G148" s="124" t="str">
        <f t="shared" si="4"/>
        <v>L148</v>
      </c>
      <c r="H148" s="141"/>
    </row>
    <row r="149" spans="1:8" x14ac:dyDescent="0.2">
      <c r="A149" s="129">
        <v>129</v>
      </c>
      <c r="B149" s="131" t="str">
        <f t="shared" si="5"/>
        <v>.</v>
      </c>
      <c r="C149" s="124" t="s">
        <v>296</v>
      </c>
      <c r="D149" s="124" t="s">
        <v>296</v>
      </c>
      <c r="E149" s="124" t="s">
        <v>296</v>
      </c>
      <c r="F149" s="124" t="s">
        <v>296</v>
      </c>
      <c r="G149" s="124" t="str">
        <f t="shared" si="4"/>
        <v>L149</v>
      </c>
      <c r="H149" s="141"/>
    </row>
    <row r="150" spans="1:8" x14ac:dyDescent="0.2">
      <c r="A150" s="129">
        <v>130</v>
      </c>
      <c r="B150" s="131" t="str">
        <f t="shared" si="5"/>
        <v>.</v>
      </c>
      <c r="C150" s="124" t="s">
        <v>296</v>
      </c>
      <c r="D150" s="124" t="s">
        <v>296</v>
      </c>
      <c r="E150" s="124" t="s">
        <v>296</v>
      </c>
      <c r="F150" s="124" t="s">
        <v>296</v>
      </c>
      <c r="G150" s="124" t="str">
        <f t="shared" si="4"/>
        <v>L150</v>
      </c>
      <c r="H150" s="141"/>
    </row>
    <row r="151" spans="1:8" x14ac:dyDescent="0.2">
      <c r="A151" s="129">
        <v>131</v>
      </c>
      <c r="B151" s="131" t="str">
        <f t="shared" ref="B151:B182" si="6">HLOOKUP($B$13,$C$21:$G$820,A151,FALSE)</f>
        <v>.</v>
      </c>
      <c r="C151" s="124" t="s">
        <v>296</v>
      </c>
      <c r="D151" s="124" t="s">
        <v>296</v>
      </c>
      <c r="E151" s="124" t="s">
        <v>296</v>
      </c>
      <c r="F151" s="124" t="s">
        <v>296</v>
      </c>
      <c r="G151" s="124" t="str">
        <f t="shared" si="4"/>
        <v>L151</v>
      </c>
      <c r="H151" s="141"/>
    </row>
    <row r="152" spans="1:8" x14ac:dyDescent="0.2">
      <c r="A152" s="129">
        <v>132</v>
      </c>
      <c r="B152" s="131" t="str">
        <f t="shared" si="6"/>
        <v>.</v>
      </c>
      <c r="C152" s="124" t="s">
        <v>296</v>
      </c>
      <c r="D152" s="124" t="s">
        <v>296</v>
      </c>
      <c r="E152" s="124" t="s">
        <v>296</v>
      </c>
      <c r="F152" s="124" t="s">
        <v>296</v>
      </c>
      <c r="G152" s="124" t="str">
        <f t="shared" si="4"/>
        <v>L152</v>
      </c>
      <c r="H152" s="141"/>
    </row>
    <row r="153" spans="1:8" x14ac:dyDescent="0.2">
      <c r="A153" s="129">
        <v>133</v>
      </c>
      <c r="B153" s="131" t="str">
        <f t="shared" si="6"/>
        <v>.</v>
      </c>
      <c r="C153" s="124" t="s">
        <v>296</v>
      </c>
      <c r="D153" s="124" t="s">
        <v>296</v>
      </c>
      <c r="E153" s="124" t="s">
        <v>296</v>
      </c>
      <c r="F153" s="124" t="s">
        <v>296</v>
      </c>
      <c r="G153" s="124" t="str">
        <f t="shared" ref="G153:G216" si="7">"L"&amp;ROW()</f>
        <v>L153</v>
      </c>
      <c r="H153" s="141"/>
    </row>
    <row r="154" spans="1:8" x14ac:dyDescent="0.2">
      <c r="A154" s="129">
        <v>134</v>
      </c>
      <c r="B154" s="131" t="str">
        <f t="shared" si="6"/>
        <v>Warnmeldungen</v>
      </c>
      <c r="C154" s="56" t="s">
        <v>589</v>
      </c>
      <c r="D154" s="124" t="s">
        <v>296</v>
      </c>
      <c r="E154" s="124" t="s">
        <v>693</v>
      </c>
      <c r="F154" s="124" t="s">
        <v>296</v>
      </c>
      <c r="G154" s="124" t="str">
        <f t="shared" si="7"/>
        <v>L154</v>
      </c>
      <c r="H154" s="141"/>
    </row>
    <row r="155" spans="1:8" x14ac:dyDescent="0.2">
      <c r="A155" s="129">
        <v>135</v>
      </c>
      <c r="B155" s="131" t="str">
        <f t="shared" si="6"/>
        <v>! Gültiges Geburtsdatum eingeben !</v>
      </c>
      <c r="C155" s="56" t="s">
        <v>590</v>
      </c>
      <c r="D155" s="124" t="s">
        <v>296</v>
      </c>
      <c r="E155" s="124" t="s">
        <v>623</v>
      </c>
      <c r="F155" s="124" t="s">
        <v>296</v>
      </c>
      <c r="G155" s="124" t="str">
        <f t="shared" si="7"/>
        <v>L155</v>
      </c>
      <c r="H155" s="141"/>
    </row>
    <row r="156" spans="1:8" x14ac:dyDescent="0.2">
      <c r="A156" s="129">
        <v>136</v>
      </c>
      <c r="B156" s="131" t="str">
        <f t="shared" si="6"/>
        <v>.</v>
      </c>
      <c r="C156" s="124" t="s">
        <v>296</v>
      </c>
      <c r="D156" s="124" t="s">
        <v>296</v>
      </c>
      <c r="E156" s="124" t="s">
        <v>296</v>
      </c>
      <c r="F156" s="124" t="s">
        <v>296</v>
      </c>
      <c r="G156" s="124" t="str">
        <f t="shared" si="7"/>
        <v>L156</v>
      </c>
      <c r="H156" s="141"/>
    </row>
    <row r="157" spans="1:8" x14ac:dyDescent="0.2">
      <c r="A157" s="129">
        <v>137</v>
      </c>
      <c r="B157" s="131" t="str">
        <f t="shared" si="6"/>
        <v>.</v>
      </c>
      <c r="C157" s="124" t="s">
        <v>296</v>
      </c>
      <c r="D157" s="124" t="s">
        <v>296</v>
      </c>
      <c r="E157" s="124" t="s">
        <v>296</v>
      </c>
      <c r="F157" s="124" t="s">
        <v>296</v>
      </c>
      <c r="G157" s="124" t="str">
        <f t="shared" si="7"/>
        <v>L157</v>
      </c>
      <c r="H157" s="141"/>
    </row>
    <row r="158" spans="1:8" x14ac:dyDescent="0.2">
      <c r="A158" s="129">
        <v>138</v>
      </c>
      <c r="B158" s="131" t="str">
        <f t="shared" si="6"/>
        <v>.</v>
      </c>
      <c r="C158" s="124" t="s">
        <v>296</v>
      </c>
      <c r="D158" s="124" t="s">
        <v>296</v>
      </c>
      <c r="E158" s="124" t="s">
        <v>296</v>
      </c>
      <c r="F158" s="124" t="s">
        <v>296</v>
      </c>
      <c r="G158" s="124" t="str">
        <f t="shared" si="7"/>
        <v>L158</v>
      </c>
      <c r="H158" s="141"/>
    </row>
    <row r="159" spans="1:8" x14ac:dyDescent="0.2">
      <c r="A159" s="129">
        <v>139</v>
      </c>
      <c r="B159" s="131" t="str">
        <f t="shared" si="6"/>
        <v>.</v>
      </c>
      <c r="C159" s="124" t="s">
        <v>296</v>
      </c>
      <c r="D159" s="124" t="s">
        <v>296</v>
      </c>
      <c r="E159" s="124" t="s">
        <v>296</v>
      </c>
      <c r="F159" s="124" t="s">
        <v>296</v>
      </c>
      <c r="G159" s="124" t="str">
        <f t="shared" si="7"/>
        <v>L159</v>
      </c>
      <c r="H159" s="141"/>
    </row>
    <row r="160" spans="1:8" x14ac:dyDescent="0.2">
      <c r="A160" s="129">
        <v>140</v>
      </c>
      <c r="B160" s="131" t="str">
        <f t="shared" si="6"/>
        <v>.</v>
      </c>
      <c r="C160" s="124" t="s">
        <v>296</v>
      </c>
      <c r="D160" s="124" t="s">
        <v>296</v>
      </c>
      <c r="E160" s="124" t="s">
        <v>296</v>
      </c>
      <c r="F160" s="124" t="s">
        <v>296</v>
      </c>
      <c r="G160" s="124" t="str">
        <f t="shared" si="7"/>
        <v>L160</v>
      </c>
      <c r="H160" s="141"/>
    </row>
    <row r="161" spans="1:8" x14ac:dyDescent="0.2">
      <c r="A161" s="129">
        <v>141</v>
      </c>
      <c r="B161" s="132" t="str">
        <f t="shared" si="6"/>
        <v>.</v>
      </c>
      <c r="C161" s="124" t="s">
        <v>296</v>
      </c>
      <c r="D161" s="124" t="s">
        <v>296</v>
      </c>
      <c r="E161" s="124" t="s">
        <v>296</v>
      </c>
      <c r="F161" s="124" t="s">
        <v>296</v>
      </c>
      <c r="G161" s="124" t="str">
        <f t="shared" si="7"/>
        <v>L161</v>
      </c>
      <c r="H161" s="141"/>
    </row>
    <row r="162" spans="1:8" x14ac:dyDescent="0.2">
      <c r="A162" s="129">
        <v>142</v>
      </c>
      <c r="B162" s="131" t="str">
        <f t="shared" si="6"/>
        <v>Maler Muster GmbH</v>
      </c>
      <c r="C162" s="56" t="s">
        <v>588</v>
      </c>
      <c r="E162" s="124" t="s">
        <v>686</v>
      </c>
      <c r="F162" s="124" t="s">
        <v>296</v>
      </c>
      <c r="G162" s="124" t="str">
        <f t="shared" si="7"/>
        <v>L162</v>
      </c>
      <c r="H162" s="141"/>
    </row>
    <row r="163" spans="1:8" x14ac:dyDescent="0.2">
      <c r="A163" s="129">
        <v>143</v>
      </c>
      <c r="B163" s="131" t="str">
        <f t="shared" si="6"/>
        <v>.</v>
      </c>
      <c r="C163" s="124" t="s">
        <v>296</v>
      </c>
      <c r="E163" s="124" t="s">
        <v>296</v>
      </c>
      <c r="F163" s="124" t="s">
        <v>296</v>
      </c>
      <c r="G163" s="124" t="str">
        <f t="shared" si="7"/>
        <v>L163</v>
      </c>
      <c r="H163" s="141"/>
    </row>
    <row r="164" spans="1:8" x14ac:dyDescent="0.2">
      <c r="A164" s="129">
        <v>144</v>
      </c>
      <c r="B164" s="131" t="str">
        <f t="shared" si="6"/>
        <v>.</v>
      </c>
      <c r="C164" s="124" t="s">
        <v>296</v>
      </c>
      <c r="E164" s="124" t="s">
        <v>296</v>
      </c>
      <c r="F164" s="124" t="s">
        <v>296</v>
      </c>
      <c r="G164" s="124" t="str">
        <f t="shared" si="7"/>
        <v>L164</v>
      </c>
      <c r="H164" s="141"/>
    </row>
    <row r="165" spans="1:8" x14ac:dyDescent="0.2">
      <c r="A165" s="129">
        <v>145</v>
      </c>
      <c r="B165" s="131" t="str">
        <f t="shared" si="6"/>
        <v>Maximilian Muster</v>
      </c>
      <c r="C165" s="56" t="s">
        <v>496</v>
      </c>
      <c r="E165" s="124" t="s">
        <v>685</v>
      </c>
      <c r="F165" s="124" t="s">
        <v>296</v>
      </c>
      <c r="G165" s="124" t="str">
        <f t="shared" si="7"/>
        <v>L165</v>
      </c>
      <c r="H165" s="141"/>
    </row>
    <row r="166" spans="1:8" x14ac:dyDescent="0.2">
      <c r="A166" s="129">
        <v>146</v>
      </c>
      <c r="B166" s="131" t="str">
        <f t="shared" si="6"/>
        <v>.</v>
      </c>
      <c r="C166" s="124" t="s">
        <v>296</v>
      </c>
      <c r="E166" s="124" t="s">
        <v>296</v>
      </c>
      <c r="F166" s="124" t="s">
        <v>296</v>
      </c>
      <c r="G166" s="124" t="str">
        <f t="shared" si="7"/>
        <v>L166</v>
      </c>
      <c r="H166" s="141"/>
    </row>
    <row r="167" spans="1:8" x14ac:dyDescent="0.2">
      <c r="A167" s="129">
        <v>147</v>
      </c>
      <c r="B167" s="131" t="str">
        <f t="shared" si="6"/>
        <v>.</v>
      </c>
      <c r="C167" s="124" t="s">
        <v>296</v>
      </c>
      <c r="E167" s="124" t="s">
        <v>296</v>
      </c>
      <c r="F167" s="124" t="s">
        <v>296</v>
      </c>
      <c r="G167" s="124" t="str">
        <f t="shared" si="7"/>
        <v>L167</v>
      </c>
      <c r="H167" s="141"/>
    </row>
    <row r="168" spans="1:8" x14ac:dyDescent="0.2">
      <c r="A168" s="129">
        <v>148</v>
      </c>
      <c r="B168" s="131" t="str">
        <f t="shared" si="6"/>
        <v>Strasse Nr</v>
      </c>
      <c r="C168" s="56" t="s">
        <v>497</v>
      </c>
      <c r="E168" s="124" t="s">
        <v>618</v>
      </c>
      <c r="F168" s="124" t="s">
        <v>296</v>
      </c>
      <c r="G168" s="124" t="str">
        <f t="shared" si="7"/>
        <v>L168</v>
      </c>
      <c r="H168" s="141"/>
    </row>
    <row r="169" spans="1:8" x14ac:dyDescent="0.2">
      <c r="A169" s="129">
        <v>149</v>
      </c>
      <c r="B169" s="131" t="str">
        <f t="shared" si="6"/>
        <v>PLZ Ort</v>
      </c>
      <c r="C169" s="56" t="s">
        <v>498</v>
      </c>
      <c r="E169" s="124" t="s">
        <v>619</v>
      </c>
      <c r="F169" s="124" t="s">
        <v>296</v>
      </c>
      <c r="G169" s="124" t="str">
        <f t="shared" si="7"/>
        <v>L169</v>
      </c>
      <c r="H169" s="141"/>
    </row>
    <row r="170" spans="1:8" x14ac:dyDescent="0.2">
      <c r="A170" s="129">
        <v>150</v>
      </c>
      <c r="B170" s="131" t="str">
        <f t="shared" si="6"/>
        <v>.</v>
      </c>
      <c r="C170" s="124" t="s">
        <v>296</v>
      </c>
      <c r="E170" s="124" t="s">
        <v>296</v>
      </c>
      <c r="F170" s="124" t="s">
        <v>296</v>
      </c>
      <c r="G170" s="124" t="str">
        <f t="shared" si="7"/>
        <v>L170</v>
      </c>
      <c r="H170" s="141"/>
    </row>
    <row r="171" spans="1:8" x14ac:dyDescent="0.2">
      <c r="A171" s="129">
        <v>151</v>
      </c>
      <c r="B171" s="131" t="str">
        <f t="shared" si="6"/>
        <v>.</v>
      </c>
      <c r="C171" s="124" t="s">
        <v>296</v>
      </c>
      <c r="E171" s="124" t="s">
        <v>296</v>
      </c>
      <c r="F171" s="124" t="s">
        <v>296</v>
      </c>
      <c r="G171" s="124" t="str">
        <f t="shared" si="7"/>
        <v>L171</v>
      </c>
      <c r="H171" s="141"/>
    </row>
    <row r="172" spans="1:8" x14ac:dyDescent="0.2">
      <c r="A172" s="129">
        <v>152</v>
      </c>
      <c r="B172" s="131" t="str">
        <f t="shared" si="6"/>
        <v>Telefon</v>
      </c>
      <c r="C172" s="56" t="s">
        <v>495</v>
      </c>
      <c r="E172" s="124" t="s">
        <v>620</v>
      </c>
      <c r="F172" s="124" t="s">
        <v>296</v>
      </c>
      <c r="G172" s="124" t="str">
        <f t="shared" si="7"/>
        <v>L172</v>
      </c>
      <c r="H172" s="141"/>
    </row>
    <row r="173" spans="1:8" x14ac:dyDescent="0.2">
      <c r="A173" s="129">
        <v>153</v>
      </c>
      <c r="B173" s="131" t="str">
        <f t="shared" si="6"/>
        <v>E-Mail</v>
      </c>
      <c r="C173" s="56" t="s">
        <v>499</v>
      </c>
      <c r="E173" s="124" t="s">
        <v>687</v>
      </c>
      <c r="F173" s="124" t="s">
        <v>296</v>
      </c>
      <c r="G173" s="124" t="str">
        <f t="shared" si="7"/>
        <v>L173</v>
      </c>
      <c r="H173" s="141"/>
    </row>
    <row r="174" spans="1:8" x14ac:dyDescent="0.2">
      <c r="A174" s="129">
        <v>154</v>
      </c>
      <c r="B174" s="131" t="str">
        <f t="shared" si="6"/>
        <v>.</v>
      </c>
      <c r="C174" s="124" t="s">
        <v>296</v>
      </c>
      <c r="E174" s="124" t="s">
        <v>296</v>
      </c>
      <c r="F174" s="124" t="s">
        <v>296</v>
      </c>
      <c r="G174" s="124" t="str">
        <f t="shared" si="7"/>
        <v>L174</v>
      </c>
      <c r="H174" s="141"/>
    </row>
    <row r="175" spans="1:8" x14ac:dyDescent="0.2">
      <c r="A175" s="129">
        <v>155</v>
      </c>
      <c r="B175" s="131" t="str">
        <f t="shared" si="6"/>
        <v>.</v>
      </c>
      <c r="C175" s="124" t="s">
        <v>296</v>
      </c>
      <c r="E175" s="124" t="s">
        <v>296</v>
      </c>
      <c r="F175" s="124" t="s">
        <v>296</v>
      </c>
      <c r="G175" s="124" t="str">
        <f t="shared" si="7"/>
        <v>L175</v>
      </c>
      <c r="H175" s="141"/>
    </row>
    <row r="176" spans="1:8" x14ac:dyDescent="0.2">
      <c r="A176" s="129">
        <v>156</v>
      </c>
      <c r="B176" s="131" t="str">
        <f t="shared" si="6"/>
        <v>AHV-Nummer</v>
      </c>
      <c r="C176" s="56" t="s">
        <v>506</v>
      </c>
      <c r="E176" s="124" t="s">
        <v>621</v>
      </c>
      <c r="F176" s="124" t="s">
        <v>296</v>
      </c>
      <c r="G176" s="124" t="str">
        <f t="shared" si="7"/>
        <v>L176</v>
      </c>
      <c r="H176" s="141"/>
    </row>
    <row r="177" spans="1:8" x14ac:dyDescent="0.2">
      <c r="A177" s="129">
        <v>157</v>
      </c>
      <c r="B177" s="131" t="str">
        <f t="shared" si="6"/>
        <v>.</v>
      </c>
      <c r="C177" s="124" t="s">
        <v>296</v>
      </c>
      <c r="E177" s="124" t="s">
        <v>296</v>
      </c>
      <c r="F177" s="124" t="s">
        <v>296</v>
      </c>
      <c r="G177" s="124" t="str">
        <f t="shared" si="7"/>
        <v>L177</v>
      </c>
      <c r="H177" s="141"/>
    </row>
    <row r="178" spans="1:8" x14ac:dyDescent="0.2">
      <c r="A178" s="129">
        <v>158</v>
      </c>
      <c r="B178" s="131" t="str">
        <f t="shared" si="6"/>
        <v>Geburtsdatum</v>
      </c>
      <c r="C178" s="56" t="s">
        <v>37</v>
      </c>
      <c r="E178" s="124" t="s">
        <v>622</v>
      </c>
      <c r="F178" s="124" t="s">
        <v>296</v>
      </c>
      <c r="G178" s="124" t="str">
        <f t="shared" si="7"/>
        <v>L178</v>
      </c>
      <c r="H178" s="141"/>
    </row>
    <row r="179" spans="1:8" x14ac:dyDescent="0.2">
      <c r="A179" s="129">
        <v>159</v>
      </c>
      <c r="B179" s="131">
        <f t="shared" ca="1" si="6"/>
        <v>37966</v>
      </c>
      <c r="C179" s="542">
        <f ca="1">DATE(YEAR(TODAY())-20,MONTH(TODAY()),DAY(TODAY()))</f>
        <v>37966</v>
      </c>
      <c r="E179" s="563">
        <f ca="1">DATE(YEAR(TODAY())-20,MONTH(TODAY()),DAY(TODAY()))</f>
        <v>37966</v>
      </c>
      <c r="F179" s="124" t="s">
        <v>296</v>
      </c>
      <c r="G179" s="124" t="str">
        <f t="shared" si="7"/>
        <v>L179</v>
      </c>
      <c r="H179" s="141"/>
    </row>
    <row r="180" spans="1:8" x14ac:dyDescent="0.2">
      <c r="A180" s="129">
        <v>160</v>
      </c>
      <c r="B180" s="131" t="str">
        <f t="shared" si="6"/>
        <v>.</v>
      </c>
      <c r="C180" s="124" t="s">
        <v>296</v>
      </c>
      <c r="E180" s="124" t="s">
        <v>296</v>
      </c>
      <c r="F180" s="124" t="s">
        <v>296</v>
      </c>
      <c r="G180" s="124" t="str">
        <f t="shared" si="7"/>
        <v>L180</v>
      </c>
      <c r="H180" s="141"/>
    </row>
    <row r="181" spans="1:8" x14ac:dyDescent="0.2">
      <c r="A181" s="129">
        <v>161</v>
      </c>
      <c r="B181" s="131" t="str">
        <f t="shared" si="6"/>
        <v>.</v>
      </c>
      <c r="C181" s="124" t="s">
        <v>296</v>
      </c>
      <c r="E181" s="124" t="s">
        <v>296</v>
      </c>
      <c r="F181" s="124" t="s">
        <v>296</v>
      </c>
      <c r="G181" s="124" t="str">
        <f t="shared" si="7"/>
        <v>L181</v>
      </c>
      <c r="H181" s="141"/>
    </row>
    <row r="182" spans="1:8" x14ac:dyDescent="0.2">
      <c r="A182" s="129">
        <v>162</v>
      </c>
      <c r="B182" s="131" t="str">
        <f t="shared" si="6"/>
        <v>Eintrittsdatum</v>
      </c>
      <c r="C182" s="56" t="s">
        <v>500</v>
      </c>
      <c r="E182" s="124" t="s">
        <v>624</v>
      </c>
      <c r="F182" s="124" t="s">
        <v>296</v>
      </c>
      <c r="G182" s="124" t="str">
        <f t="shared" si="7"/>
        <v>L182</v>
      </c>
      <c r="H182" s="141"/>
    </row>
    <row r="183" spans="1:8" x14ac:dyDescent="0.2">
      <c r="A183" s="129">
        <v>163</v>
      </c>
      <c r="B183" s="131" t="str">
        <f t="shared" ref="B183:B214" si="8">HLOOKUP($B$13,$C$21:$G$820,A183,FALSE)</f>
        <v>.</v>
      </c>
      <c r="C183" s="124" t="s">
        <v>296</v>
      </c>
      <c r="D183" s="124" t="s">
        <v>296</v>
      </c>
      <c r="E183" s="124" t="s">
        <v>296</v>
      </c>
      <c r="F183" s="124" t="s">
        <v>296</v>
      </c>
      <c r="G183" s="124" t="str">
        <f t="shared" si="7"/>
        <v>L183</v>
      </c>
      <c r="H183" s="141"/>
    </row>
    <row r="184" spans="1:8" x14ac:dyDescent="0.2">
      <c r="A184" s="129">
        <v>164</v>
      </c>
      <c r="B184" s="131" t="str">
        <f t="shared" si="8"/>
        <v>.</v>
      </c>
      <c r="C184" s="124" t="s">
        <v>296</v>
      </c>
      <c r="D184" s="124" t="s">
        <v>296</v>
      </c>
      <c r="E184" s="124" t="s">
        <v>296</v>
      </c>
      <c r="F184" s="124" t="s">
        <v>296</v>
      </c>
      <c r="G184" s="124" t="str">
        <f t="shared" si="7"/>
        <v>L184</v>
      </c>
      <c r="H184" s="141"/>
    </row>
    <row r="185" spans="1:8" x14ac:dyDescent="0.2">
      <c r="A185" s="129">
        <v>165</v>
      </c>
      <c r="B185" s="131" t="str">
        <f t="shared" si="8"/>
        <v>.</v>
      </c>
      <c r="C185" s="124" t="s">
        <v>296</v>
      </c>
      <c r="D185" s="124" t="s">
        <v>296</v>
      </c>
      <c r="E185" s="124" t="s">
        <v>296</v>
      </c>
      <c r="F185" s="124" t="s">
        <v>296</v>
      </c>
      <c r="G185" s="124" t="str">
        <f t="shared" si="7"/>
        <v>L185</v>
      </c>
      <c r="H185" s="141"/>
    </row>
    <row r="186" spans="1:8" x14ac:dyDescent="0.2">
      <c r="A186" s="129">
        <v>166</v>
      </c>
      <c r="B186" s="131" t="str">
        <f t="shared" si="8"/>
        <v>.</v>
      </c>
      <c r="C186" s="124" t="s">
        <v>296</v>
      </c>
      <c r="D186" s="124" t="s">
        <v>296</v>
      </c>
      <c r="E186" s="124" t="s">
        <v>296</v>
      </c>
      <c r="F186" s="124" t="s">
        <v>296</v>
      </c>
      <c r="G186" s="124" t="str">
        <f t="shared" si="7"/>
        <v>L186</v>
      </c>
      <c r="H186" s="141"/>
    </row>
    <row r="187" spans="1:8" x14ac:dyDescent="0.2">
      <c r="A187" s="129">
        <v>167</v>
      </c>
      <c r="B187" s="131" t="str">
        <f t="shared" si="8"/>
        <v>.</v>
      </c>
      <c r="C187" s="124" t="s">
        <v>296</v>
      </c>
      <c r="D187" s="124" t="s">
        <v>296</v>
      </c>
      <c r="E187" s="124" t="s">
        <v>296</v>
      </c>
      <c r="F187" s="124" t="s">
        <v>296</v>
      </c>
      <c r="G187" s="124" t="str">
        <f t="shared" si="7"/>
        <v>L187</v>
      </c>
      <c r="H187" s="141"/>
    </row>
    <row r="188" spans="1:8" x14ac:dyDescent="0.2">
      <c r="A188" s="129">
        <v>168</v>
      </c>
      <c r="B188" s="131" t="str">
        <f t="shared" si="8"/>
        <v>.</v>
      </c>
      <c r="C188" s="124" t="s">
        <v>296</v>
      </c>
      <c r="D188" s="124" t="s">
        <v>296</v>
      </c>
      <c r="E188" s="124" t="s">
        <v>296</v>
      </c>
      <c r="F188" s="124" t="s">
        <v>296</v>
      </c>
      <c r="G188" s="124" t="str">
        <f t="shared" si="7"/>
        <v>L188</v>
      </c>
      <c r="H188" s="141"/>
    </row>
    <row r="189" spans="1:8" x14ac:dyDescent="0.2">
      <c r="A189" s="129">
        <v>169</v>
      </c>
      <c r="B189" s="131" t="str">
        <f t="shared" si="8"/>
        <v>.</v>
      </c>
      <c r="C189" s="124" t="s">
        <v>296</v>
      </c>
      <c r="D189" s="124" t="s">
        <v>296</v>
      </c>
      <c r="E189" s="124" t="s">
        <v>296</v>
      </c>
      <c r="F189" s="124" t="s">
        <v>296</v>
      </c>
      <c r="G189" s="124" t="str">
        <f t="shared" si="7"/>
        <v>L189</v>
      </c>
      <c r="H189" s="141"/>
    </row>
    <row r="190" spans="1:8" x14ac:dyDescent="0.2">
      <c r="A190" s="129">
        <v>170</v>
      </c>
      <c r="B190" s="131" t="str">
        <f t="shared" si="8"/>
        <v>.</v>
      </c>
      <c r="C190" s="124" t="s">
        <v>296</v>
      </c>
      <c r="D190" s="124" t="s">
        <v>296</v>
      </c>
      <c r="E190" s="124" t="s">
        <v>296</v>
      </c>
      <c r="F190" s="124" t="s">
        <v>296</v>
      </c>
      <c r="G190" s="124" t="str">
        <f t="shared" si="7"/>
        <v>L190</v>
      </c>
      <c r="H190" s="141"/>
    </row>
    <row r="191" spans="1:8" x14ac:dyDescent="0.2">
      <c r="A191" s="129">
        <v>171</v>
      </c>
      <c r="B191" s="131" t="str">
        <f t="shared" si="8"/>
        <v>.</v>
      </c>
      <c r="C191" s="124" t="s">
        <v>296</v>
      </c>
      <c r="D191" s="124" t="s">
        <v>296</v>
      </c>
      <c r="E191" s="124" t="s">
        <v>296</v>
      </c>
      <c r="F191" s="124" t="s">
        <v>296</v>
      </c>
      <c r="G191" s="124" t="str">
        <f t="shared" si="7"/>
        <v>L191</v>
      </c>
      <c r="H191" s="141"/>
    </row>
    <row r="192" spans="1:8" x14ac:dyDescent="0.2">
      <c r="A192" s="129">
        <v>172</v>
      </c>
      <c r="B192" s="131" t="str">
        <f t="shared" si="8"/>
        <v>.</v>
      </c>
      <c r="C192" s="124" t="s">
        <v>296</v>
      </c>
      <c r="D192" s="124" t="s">
        <v>296</v>
      </c>
      <c r="E192" s="124" t="s">
        <v>296</v>
      </c>
      <c r="F192" s="124" t="s">
        <v>296</v>
      </c>
      <c r="G192" s="124" t="str">
        <f t="shared" si="7"/>
        <v>L192</v>
      </c>
      <c r="H192" s="141"/>
    </row>
    <row r="193" spans="1:8" x14ac:dyDescent="0.2">
      <c r="A193" s="129">
        <v>173</v>
      </c>
      <c r="B193" s="131" t="str">
        <f t="shared" si="8"/>
        <v>.</v>
      </c>
      <c r="C193" s="124" t="s">
        <v>296</v>
      </c>
      <c r="D193" s="124" t="s">
        <v>296</v>
      </c>
      <c r="E193" s="124" t="s">
        <v>296</v>
      </c>
      <c r="F193" s="124" t="s">
        <v>296</v>
      </c>
      <c r="G193" s="124" t="str">
        <f t="shared" si="7"/>
        <v>L193</v>
      </c>
      <c r="H193" s="141"/>
    </row>
    <row r="194" spans="1:8" x14ac:dyDescent="0.2">
      <c r="A194" s="129">
        <v>174</v>
      </c>
      <c r="B194" s="131" t="str">
        <f t="shared" si="8"/>
        <v>.</v>
      </c>
      <c r="C194" s="124" t="s">
        <v>296</v>
      </c>
      <c r="D194" s="124" t="s">
        <v>296</v>
      </c>
      <c r="E194" s="124" t="s">
        <v>296</v>
      </c>
      <c r="F194" s="124" t="s">
        <v>296</v>
      </c>
      <c r="G194" s="124" t="str">
        <f t="shared" si="7"/>
        <v>L194</v>
      </c>
      <c r="H194" s="141"/>
    </row>
    <row r="195" spans="1:8" x14ac:dyDescent="0.2">
      <c r="A195" s="129">
        <v>175</v>
      </c>
      <c r="B195" s="131" t="str">
        <f t="shared" si="8"/>
        <v>.</v>
      </c>
      <c r="C195" s="124" t="s">
        <v>296</v>
      </c>
      <c r="D195" s="124" t="s">
        <v>296</v>
      </c>
      <c r="E195" s="124" t="s">
        <v>296</v>
      </c>
      <c r="F195" s="124" t="s">
        <v>296</v>
      </c>
      <c r="G195" s="124" t="str">
        <f t="shared" si="7"/>
        <v>L195</v>
      </c>
      <c r="H195" s="141"/>
    </row>
    <row r="196" spans="1:8" x14ac:dyDescent="0.2">
      <c r="A196" s="129">
        <v>176</v>
      </c>
      <c r="B196" s="131" t="str">
        <f t="shared" si="8"/>
        <v>.</v>
      </c>
      <c r="C196" s="124" t="s">
        <v>296</v>
      </c>
      <c r="D196" s="124" t="s">
        <v>296</v>
      </c>
      <c r="E196" s="124" t="s">
        <v>296</v>
      </c>
      <c r="F196" s="124" t="s">
        <v>296</v>
      </c>
      <c r="G196" s="124" t="str">
        <f t="shared" si="7"/>
        <v>L196</v>
      </c>
      <c r="H196" s="141"/>
    </row>
    <row r="197" spans="1:8" x14ac:dyDescent="0.2">
      <c r="A197" s="129">
        <v>177</v>
      </c>
      <c r="B197" s="131" t="str">
        <f t="shared" si="8"/>
        <v>.</v>
      </c>
      <c r="C197" s="124" t="s">
        <v>296</v>
      </c>
      <c r="D197" s="124" t="s">
        <v>296</v>
      </c>
      <c r="E197" s="124" t="s">
        <v>296</v>
      </c>
      <c r="F197" s="124" t="s">
        <v>296</v>
      </c>
      <c r="G197" s="124" t="str">
        <f t="shared" si="7"/>
        <v>L197</v>
      </c>
      <c r="H197" s="141"/>
    </row>
    <row r="198" spans="1:8" x14ac:dyDescent="0.2">
      <c r="A198" s="129">
        <v>178</v>
      </c>
      <c r="B198" s="131" t="str">
        <f t="shared" si="8"/>
        <v>.</v>
      </c>
      <c r="C198" s="124" t="s">
        <v>296</v>
      </c>
      <c r="D198" s="124" t="s">
        <v>296</v>
      </c>
      <c r="E198" s="124" t="s">
        <v>296</v>
      </c>
      <c r="F198" s="124" t="s">
        <v>296</v>
      </c>
      <c r="G198" s="124" t="str">
        <f t="shared" si="7"/>
        <v>L198</v>
      </c>
      <c r="H198" s="141"/>
    </row>
    <row r="199" spans="1:8" x14ac:dyDescent="0.2">
      <c r="A199" s="129">
        <v>179</v>
      </c>
      <c r="B199" s="131" t="str">
        <f t="shared" si="8"/>
        <v>.</v>
      </c>
      <c r="C199" s="131" t="s">
        <v>296</v>
      </c>
      <c r="D199" s="131" t="s">
        <v>296</v>
      </c>
      <c r="E199" s="131" t="s">
        <v>296</v>
      </c>
      <c r="F199" s="131" t="s">
        <v>296</v>
      </c>
      <c r="G199" s="131" t="str">
        <f t="shared" si="7"/>
        <v>L199</v>
      </c>
      <c r="H199" s="141"/>
    </row>
    <row r="200" spans="1:8" x14ac:dyDescent="0.2">
      <c r="A200" s="129">
        <v>180</v>
      </c>
      <c r="B200" s="131" t="str">
        <f t="shared" si="8"/>
        <v>.</v>
      </c>
      <c r="C200" s="131" t="s">
        <v>296</v>
      </c>
      <c r="D200" s="131" t="s">
        <v>296</v>
      </c>
      <c r="E200" s="131" t="s">
        <v>296</v>
      </c>
      <c r="F200" s="131" t="s">
        <v>296</v>
      </c>
      <c r="G200" s="131" t="str">
        <f t="shared" si="7"/>
        <v>L200</v>
      </c>
      <c r="H200" s="141"/>
    </row>
    <row r="201" spans="1:8" x14ac:dyDescent="0.2">
      <c r="A201" s="129">
        <v>181</v>
      </c>
      <c r="B201" s="131" t="str">
        <f t="shared" si="8"/>
        <v>.</v>
      </c>
      <c r="C201" s="131" t="s">
        <v>296</v>
      </c>
      <c r="D201" s="131" t="s">
        <v>296</v>
      </c>
      <c r="E201" s="131" t="s">
        <v>296</v>
      </c>
      <c r="F201" s="131" t="s">
        <v>296</v>
      </c>
      <c r="G201" s="131" t="str">
        <f t="shared" si="7"/>
        <v>L201</v>
      </c>
      <c r="H201" s="141"/>
    </row>
    <row r="202" spans="1:8" x14ac:dyDescent="0.2">
      <c r="A202" s="129">
        <v>182</v>
      </c>
      <c r="B202" s="131" t="str">
        <f t="shared" si="8"/>
        <v>.</v>
      </c>
      <c r="C202" s="131" t="s">
        <v>296</v>
      </c>
      <c r="D202" s="131" t="s">
        <v>296</v>
      </c>
      <c r="E202" s="131" t="s">
        <v>296</v>
      </c>
      <c r="F202" s="131" t="s">
        <v>296</v>
      </c>
      <c r="G202" s="131" t="str">
        <f t="shared" si="7"/>
        <v>L202</v>
      </c>
      <c r="H202" s="141"/>
    </row>
    <row r="203" spans="1:8" x14ac:dyDescent="0.2">
      <c r="A203" s="129">
        <v>183</v>
      </c>
      <c r="B203" s="131" t="str">
        <f t="shared" si="8"/>
        <v>.</v>
      </c>
      <c r="C203" s="131" t="s">
        <v>296</v>
      </c>
      <c r="D203" s="131" t="s">
        <v>296</v>
      </c>
      <c r="E203" s="131" t="s">
        <v>296</v>
      </c>
      <c r="F203" s="131" t="s">
        <v>296</v>
      </c>
      <c r="G203" s="131" t="str">
        <f t="shared" si="7"/>
        <v>L203</v>
      </c>
      <c r="H203" s="141"/>
    </row>
    <row r="204" spans="1:8" x14ac:dyDescent="0.2">
      <c r="A204" s="129">
        <v>184</v>
      </c>
      <c r="B204" s="131" t="str">
        <f t="shared" si="8"/>
        <v>.</v>
      </c>
      <c r="C204" s="131" t="s">
        <v>296</v>
      </c>
      <c r="D204" s="131" t="s">
        <v>296</v>
      </c>
      <c r="E204" s="131" t="s">
        <v>296</v>
      </c>
      <c r="F204" s="131" t="s">
        <v>296</v>
      </c>
      <c r="G204" s="131" t="str">
        <f t="shared" si="7"/>
        <v>L204</v>
      </c>
      <c r="H204" s="141"/>
    </row>
    <row r="205" spans="1:8" x14ac:dyDescent="0.2">
      <c r="A205" s="129">
        <v>185</v>
      </c>
      <c r="B205" s="131" t="str">
        <f t="shared" si="8"/>
        <v>.</v>
      </c>
      <c r="C205" s="131" t="s">
        <v>296</v>
      </c>
      <c r="D205" s="131" t="s">
        <v>296</v>
      </c>
      <c r="E205" s="131" t="s">
        <v>296</v>
      </c>
      <c r="F205" s="131" t="s">
        <v>296</v>
      </c>
      <c r="G205" s="131" t="str">
        <f t="shared" si="7"/>
        <v>L205</v>
      </c>
      <c r="H205" s="141"/>
    </row>
    <row r="206" spans="1:8" x14ac:dyDescent="0.2">
      <c r="A206" s="129">
        <v>186</v>
      </c>
      <c r="B206" s="131" t="str">
        <f t="shared" si="8"/>
        <v>.</v>
      </c>
      <c r="C206" s="131" t="s">
        <v>296</v>
      </c>
      <c r="D206" s="131" t="s">
        <v>296</v>
      </c>
      <c r="E206" s="131" t="s">
        <v>296</v>
      </c>
      <c r="F206" s="131" t="s">
        <v>296</v>
      </c>
      <c r="G206" s="131" t="str">
        <f t="shared" si="7"/>
        <v>L206</v>
      </c>
      <c r="H206" s="141"/>
    </row>
    <row r="207" spans="1:8" x14ac:dyDescent="0.2">
      <c r="A207" s="129">
        <v>187</v>
      </c>
      <c r="B207" s="131" t="str">
        <f t="shared" si="8"/>
        <v>.</v>
      </c>
      <c r="C207" s="131" t="s">
        <v>296</v>
      </c>
      <c r="D207" s="131" t="s">
        <v>296</v>
      </c>
      <c r="E207" s="131" t="s">
        <v>296</v>
      </c>
      <c r="F207" s="131" t="s">
        <v>296</v>
      </c>
      <c r="G207" s="131" t="str">
        <f t="shared" si="7"/>
        <v>L207</v>
      </c>
      <c r="H207" s="141"/>
    </row>
    <row r="208" spans="1:8" x14ac:dyDescent="0.2">
      <c r="A208" s="129">
        <v>188</v>
      </c>
      <c r="B208" s="131" t="str">
        <f t="shared" si="8"/>
        <v>.</v>
      </c>
      <c r="C208" s="131" t="s">
        <v>296</v>
      </c>
      <c r="D208" s="131" t="s">
        <v>296</v>
      </c>
      <c r="E208" s="131" t="s">
        <v>296</v>
      </c>
      <c r="F208" s="131" t="s">
        <v>296</v>
      </c>
      <c r="G208" s="131" t="str">
        <f t="shared" si="7"/>
        <v>L208</v>
      </c>
      <c r="H208" s="141"/>
    </row>
    <row r="209" spans="1:8" x14ac:dyDescent="0.2">
      <c r="A209" s="129">
        <v>189</v>
      </c>
      <c r="B209" s="131" t="str">
        <f t="shared" si="8"/>
        <v>.</v>
      </c>
      <c r="C209" s="131" t="s">
        <v>296</v>
      </c>
      <c r="D209" s="131" t="s">
        <v>296</v>
      </c>
      <c r="E209" s="131" t="s">
        <v>296</v>
      </c>
      <c r="F209" s="131" t="s">
        <v>296</v>
      </c>
      <c r="G209" s="131" t="str">
        <f t="shared" si="7"/>
        <v>L209</v>
      </c>
      <c r="H209" s="141"/>
    </row>
    <row r="210" spans="1:8" x14ac:dyDescent="0.2">
      <c r="A210" s="129">
        <v>190</v>
      </c>
      <c r="B210" s="131" t="str">
        <f t="shared" si="8"/>
        <v>.</v>
      </c>
      <c r="C210" s="131" t="s">
        <v>296</v>
      </c>
      <c r="D210" s="131" t="s">
        <v>296</v>
      </c>
      <c r="E210" s="131" t="s">
        <v>296</v>
      </c>
      <c r="F210" s="131" t="s">
        <v>296</v>
      </c>
      <c r="G210" s="131" t="str">
        <f t="shared" si="7"/>
        <v>L210</v>
      </c>
      <c r="H210" s="141"/>
    </row>
    <row r="211" spans="1:8" x14ac:dyDescent="0.2">
      <c r="A211" s="129">
        <v>191</v>
      </c>
      <c r="B211" s="131" t="str">
        <f t="shared" si="8"/>
        <v>.</v>
      </c>
      <c r="C211" s="131" t="s">
        <v>296</v>
      </c>
      <c r="D211" s="131" t="s">
        <v>296</v>
      </c>
      <c r="E211" s="131" t="s">
        <v>296</v>
      </c>
      <c r="F211" s="131" t="s">
        <v>296</v>
      </c>
      <c r="G211" s="131" t="str">
        <f t="shared" si="7"/>
        <v>L211</v>
      </c>
      <c r="H211" s="141"/>
    </row>
    <row r="212" spans="1:8" x14ac:dyDescent="0.2">
      <c r="A212" s="129">
        <v>192</v>
      </c>
      <c r="B212" s="131" t="str">
        <f t="shared" si="8"/>
        <v>.</v>
      </c>
      <c r="C212" s="131" t="s">
        <v>296</v>
      </c>
      <c r="D212" s="131" t="s">
        <v>296</v>
      </c>
      <c r="E212" s="131" t="s">
        <v>296</v>
      </c>
      <c r="F212" s="131" t="s">
        <v>296</v>
      </c>
      <c r="G212" s="131" t="str">
        <f t="shared" si="7"/>
        <v>L212</v>
      </c>
      <c r="H212" s="141"/>
    </row>
    <row r="213" spans="1:8" x14ac:dyDescent="0.2">
      <c r="A213" s="129">
        <v>193</v>
      </c>
      <c r="B213" s="131" t="str">
        <f t="shared" si="8"/>
        <v>.</v>
      </c>
      <c r="C213" s="131" t="s">
        <v>296</v>
      </c>
      <c r="D213" s="131" t="s">
        <v>296</v>
      </c>
      <c r="E213" s="131" t="s">
        <v>296</v>
      </c>
      <c r="F213" s="131" t="s">
        <v>296</v>
      </c>
      <c r="G213" s="131" t="str">
        <f t="shared" si="7"/>
        <v>L213</v>
      </c>
      <c r="H213" s="141"/>
    </row>
    <row r="214" spans="1:8" x14ac:dyDescent="0.2">
      <c r="A214" s="129">
        <v>194</v>
      </c>
      <c r="B214" s="131" t="str">
        <f t="shared" si="8"/>
        <v>.</v>
      </c>
      <c r="C214" s="131" t="s">
        <v>296</v>
      </c>
      <c r="D214" s="131" t="s">
        <v>296</v>
      </c>
      <c r="E214" s="131" t="s">
        <v>296</v>
      </c>
      <c r="F214" s="131" t="s">
        <v>296</v>
      </c>
      <c r="G214" s="131" t="str">
        <f t="shared" si="7"/>
        <v>L214</v>
      </c>
      <c r="H214" s="141"/>
    </row>
    <row r="215" spans="1:8" x14ac:dyDescent="0.2">
      <c r="A215" s="129">
        <v>195</v>
      </c>
      <c r="B215" s="131" t="str">
        <f t="shared" ref="B215:B219" si="9">HLOOKUP($B$13,$C$21:$G$820,A215,FALSE)</f>
        <v>.</v>
      </c>
      <c r="C215" s="131" t="s">
        <v>296</v>
      </c>
      <c r="D215" s="131" t="s">
        <v>296</v>
      </c>
      <c r="E215" s="131" t="s">
        <v>296</v>
      </c>
      <c r="F215" s="131" t="s">
        <v>296</v>
      </c>
      <c r="G215" s="131" t="str">
        <f t="shared" si="7"/>
        <v>L215</v>
      </c>
      <c r="H215" s="141"/>
    </row>
    <row r="216" spans="1:8" x14ac:dyDescent="0.2">
      <c r="A216" s="129">
        <v>196</v>
      </c>
      <c r="B216" s="131" t="str">
        <f t="shared" si="9"/>
        <v>.</v>
      </c>
      <c r="C216" s="131" t="s">
        <v>296</v>
      </c>
      <c r="D216" s="131" t="s">
        <v>296</v>
      </c>
      <c r="E216" s="131" t="s">
        <v>296</v>
      </c>
      <c r="F216" s="131" t="s">
        <v>296</v>
      </c>
      <c r="G216" s="131" t="str">
        <f t="shared" si="7"/>
        <v>L216</v>
      </c>
      <c r="H216" s="141"/>
    </row>
    <row r="217" spans="1:8" x14ac:dyDescent="0.2">
      <c r="A217" s="129">
        <v>197</v>
      </c>
      <c r="B217" s="131" t="str">
        <f t="shared" si="9"/>
        <v>.</v>
      </c>
      <c r="C217" s="131" t="s">
        <v>296</v>
      </c>
      <c r="D217" s="131" t="s">
        <v>296</v>
      </c>
      <c r="E217" s="131" t="s">
        <v>296</v>
      </c>
      <c r="F217" s="131" t="s">
        <v>296</v>
      </c>
      <c r="G217" s="131" t="str">
        <f t="shared" ref="G217:G280" si="10">"L"&amp;ROW()</f>
        <v>L217</v>
      </c>
      <c r="H217" s="141"/>
    </row>
    <row r="218" spans="1:8" x14ac:dyDescent="0.2">
      <c r="A218" s="129">
        <v>198</v>
      </c>
      <c r="B218" s="131" t="str">
        <f t="shared" si="9"/>
        <v>.</v>
      </c>
      <c r="C218" s="131" t="s">
        <v>296</v>
      </c>
      <c r="D218" s="131" t="s">
        <v>296</v>
      </c>
      <c r="E218" s="131" t="s">
        <v>296</v>
      </c>
      <c r="F218" s="131" t="s">
        <v>296</v>
      </c>
      <c r="G218" s="131" t="str">
        <f t="shared" si="10"/>
        <v>L218</v>
      </c>
      <c r="H218" s="141"/>
    </row>
    <row r="219" spans="1:8" x14ac:dyDescent="0.2">
      <c r="A219" s="129">
        <v>199</v>
      </c>
      <c r="B219" s="131" t="str">
        <f t="shared" si="9"/>
        <v>.</v>
      </c>
      <c r="C219" s="131" t="s">
        <v>296</v>
      </c>
      <c r="D219" s="131" t="s">
        <v>296</v>
      </c>
      <c r="E219" s="131" t="s">
        <v>296</v>
      </c>
      <c r="F219" s="131" t="s">
        <v>296</v>
      </c>
      <c r="G219" s="131" t="str">
        <f t="shared" si="10"/>
        <v>L219</v>
      </c>
      <c r="H219" s="141"/>
    </row>
    <row r="220" spans="1:8" x14ac:dyDescent="0.2">
      <c r="A220" s="129">
        <v>200</v>
      </c>
      <c r="B220" s="133" t="s">
        <v>257</v>
      </c>
      <c r="C220" s="130"/>
      <c r="D220" s="130"/>
      <c r="E220" s="130"/>
      <c r="F220" s="130"/>
      <c r="G220" s="130" t="str">
        <f t="shared" si="10"/>
        <v>L220</v>
      </c>
      <c r="H220" s="140"/>
    </row>
    <row r="221" spans="1:8" x14ac:dyDescent="0.2">
      <c r="A221" s="129">
        <v>201</v>
      </c>
      <c r="B221" s="131" t="str">
        <f t="shared" ref="B221:B252" si="11">HLOOKUP($B$13,$C$21:$G$820,A221,FALSE)</f>
        <v xml:space="preserve">A r b e i t s z e i t k o n t r o l l e </v>
      </c>
      <c r="C221" s="132" t="s">
        <v>323</v>
      </c>
      <c r="D221" s="132" t="s">
        <v>523</v>
      </c>
      <c r="E221" s="132" t="s">
        <v>324</v>
      </c>
      <c r="F221" s="131" t="s">
        <v>325</v>
      </c>
      <c r="G221" s="131" t="str">
        <f t="shared" si="10"/>
        <v>L221</v>
      </c>
      <c r="H221" s="141" t="s">
        <v>326</v>
      </c>
    </row>
    <row r="222" spans="1:8" x14ac:dyDescent="0.2">
      <c r="A222" s="129">
        <v>202</v>
      </c>
      <c r="B222" s="131" t="str">
        <f t="shared" si="11"/>
        <v>Mitarbeiter:in</v>
      </c>
      <c r="C222" s="56" t="s">
        <v>309</v>
      </c>
      <c r="E222" s="124" t="s">
        <v>617</v>
      </c>
      <c r="G222" s="124" t="str">
        <f t="shared" si="10"/>
        <v>L222</v>
      </c>
      <c r="H222" s="141"/>
    </row>
    <row r="223" spans="1:8" x14ac:dyDescent="0.2">
      <c r="A223" s="129">
        <v>203</v>
      </c>
      <c r="B223" s="131" t="str">
        <f t="shared" si="11"/>
        <v>Anstellung %</v>
      </c>
      <c r="C223" s="56" t="s">
        <v>327</v>
      </c>
      <c r="E223" s="124" t="s">
        <v>694</v>
      </c>
      <c r="G223" s="124" t="str">
        <f t="shared" si="10"/>
        <v>L223</v>
      </c>
      <c r="H223" s="141"/>
    </row>
    <row r="224" spans="1:8" x14ac:dyDescent="0.2">
      <c r="A224" s="129">
        <v>204</v>
      </c>
      <c r="B224" s="131" t="str">
        <f t="shared" si="11"/>
        <v>im</v>
      </c>
      <c r="C224" s="56" t="s">
        <v>328</v>
      </c>
      <c r="D224" s="56" t="s">
        <v>537</v>
      </c>
      <c r="E224" s="56" t="s">
        <v>695</v>
      </c>
      <c r="F224" s="56" t="s">
        <v>537</v>
      </c>
      <c r="G224" s="124" t="str">
        <f t="shared" si="10"/>
        <v>L224</v>
      </c>
      <c r="H224" s="141"/>
    </row>
    <row r="225" spans="1:8" x14ac:dyDescent="0.2">
      <c r="A225" s="129">
        <v>205</v>
      </c>
      <c r="B225" s="131" t="str">
        <f t="shared" si="11"/>
        <v>Saldo für das Jahr</v>
      </c>
      <c r="C225" s="56" t="s">
        <v>329</v>
      </c>
      <c r="E225" s="124" t="s">
        <v>696</v>
      </c>
      <c r="G225" s="124" t="str">
        <f t="shared" si="10"/>
        <v>L225</v>
      </c>
      <c r="H225" s="141"/>
    </row>
    <row r="226" spans="1:8" x14ac:dyDescent="0.2">
      <c r="A226" s="129">
        <v>206</v>
      </c>
      <c r="B226" s="131">
        <f t="shared" si="11"/>
        <v>0</v>
      </c>
      <c r="G226" s="124" t="str">
        <f t="shared" si="10"/>
        <v>L226</v>
      </c>
      <c r="H226" s="141"/>
    </row>
    <row r="227" spans="1:8" x14ac:dyDescent="0.2">
      <c r="A227" s="129">
        <v>207</v>
      </c>
      <c r="B227" s="131">
        <f t="shared" si="11"/>
        <v>0</v>
      </c>
      <c r="G227" s="124" t="str">
        <f t="shared" si="10"/>
        <v>L227</v>
      </c>
      <c r="H227" s="141"/>
    </row>
    <row r="228" spans="1:8" x14ac:dyDescent="0.2">
      <c r="A228" s="129">
        <v>208</v>
      </c>
      <c r="B228" s="131">
        <f t="shared" si="11"/>
        <v>0</v>
      </c>
      <c r="G228" s="124" t="str">
        <f t="shared" si="10"/>
        <v>L228</v>
      </c>
      <c r="H228" s="141"/>
    </row>
    <row r="229" spans="1:8" x14ac:dyDescent="0.2">
      <c r="A229" s="129">
        <v>209</v>
      </c>
      <c r="B229" s="131">
        <f t="shared" si="11"/>
        <v>0</v>
      </c>
      <c r="G229" s="124" t="str">
        <f t="shared" si="10"/>
        <v>L229</v>
      </c>
      <c r="H229" s="141"/>
    </row>
    <row r="230" spans="1:8" x14ac:dyDescent="0.2">
      <c r="A230" s="129">
        <v>210</v>
      </c>
      <c r="B230" s="131">
        <f t="shared" si="11"/>
        <v>0</v>
      </c>
      <c r="G230" s="124" t="str">
        <f t="shared" si="10"/>
        <v>L230</v>
      </c>
      <c r="H230" s="141"/>
    </row>
    <row r="231" spans="1:8" x14ac:dyDescent="0.2">
      <c r="A231" s="129">
        <v>211</v>
      </c>
      <c r="B231" s="131" t="str">
        <f t="shared" si="11"/>
        <v>Saldo Monat + / -</v>
      </c>
      <c r="C231" s="56" t="s">
        <v>330</v>
      </c>
      <c r="E231" s="124" t="s">
        <v>697</v>
      </c>
      <c r="G231" s="124" t="str">
        <f t="shared" si="10"/>
        <v>L231</v>
      </c>
      <c r="H231" s="141"/>
    </row>
    <row r="232" spans="1:8" x14ac:dyDescent="0.2">
      <c r="A232" s="129">
        <v>212</v>
      </c>
      <c r="B232" s="131">
        <f t="shared" si="11"/>
        <v>0</v>
      </c>
      <c r="G232" s="124" t="str">
        <f t="shared" si="10"/>
        <v>L232</v>
      </c>
      <c r="H232" s="141"/>
    </row>
    <row r="233" spans="1:8" x14ac:dyDescent="0.2">
      <c r="A233" s="129">
        <v>213</v>
      </c>
      <c r="B233" s="131">
        <f t="shared" si="11"/>
        <v>0</v>
      </c>
      <c r="G233" s="124" t="str">
        <f t="shared" si="10"/>
        <v>L233</v>
      </c>
      <c r="H233" s="141"/>
    </row>
    <row r="234" spans="1:8" x14ac:dyDescent="0.2">
      <c r="A234" s="129">
        <v>214</v>
      </c>
      <c r="B234" s="131">
        <f t="shared" si="11"/>
        <v>0</v>
      </c>
      <c r="G234" s="124" t="str">
        <f t="shared" si="10"/>
        <v>L234</v>
      </c>
      <c r="H234" s="141"/>
    </row>
    <row r="235" spans="1:8" x14ac:dyDescent="0.2">
      <c r="A235" s="129">
        <v>215</v>
      </c>
      <c r="B235" s="131">
        <f t="shared" si="11"/>
        <v>0</v>
      </c>
      <c r="G235" s="124" t="str">
        <f t="shared" si="10"/>
        <v>L235</v>
      </c>
      <c r="H235" s="141"/>
    </row>
    <row r="236" spans="1:8" x14ac:dyDescent="0.2">
      <c r="A236" s="129">
        <v>216</v>
      </c>
      <c r="B236" s="131">
        <f t="shared" si="11"/>
        <v>0</v>
      </c>
      <c r="G236" s="124" t="str">
        <f t="shared" si="10"/>
        <v>L236</v>
      </c>
      <c r="H236" s="141"/>
    </row>
    <row r="237" spans="1:8" x14ac:dyDescent="0.2">
      <c r="A237" s="129">
        <v>217</v>
      </c>
      <c r="B237" s="131">
        <f t="shared" si="11"/>
        <v>0</v>
      </c>
      <c r="G237" s="124" t="str">
        <f t="shared" si="10"/>
        <v>L237</v>
      </c>
      <c r="H237" s="141"/>
    </row>
    <row r="238" spans="1:8" x14ac:dyDescent="0.2">
      <c r="A238" s="129">
        <v>218</v>
      </c>
      <c r="B238" s="131">
        <f t="shared" si="11"/>
        <v>0</v>
      </c>
      <c r="G238" s="124" t="str">
        <f t="shared" si="10"/>
        <v>L238</v>
      </c>
      <c r="H238" s="141"/>
    </row>
    <row r="239" spans="1:8" x14ac:dyDescent="0.2">
      <c r="A239" s="129">
        <v>219</v>
      </c>
      <c r="B239" s="131">
        <f t="shared" si="11"/>
        <v>0</v>
      </c>
      <c r="G239" s="124" t="str">
        <f t="shared" si="10"/>
        <v>L239</v>
      </c>
      <c r="H239" s="141"/>
    </row>
    <row r="240" spans="1:8" x14ac:dyDescent="0.2">
      <c r="A240" s="129">
        <v>220</v>
      </c>
      <c r="B240" s="131" t="str">
        <f t="shared" si="11"/>
        <v xml:space="preserve"> = </v>
      </c>
      <c r="C240" s="132" t="s">
        <v>331</v>
      </c>
      <c r="D240" s="131" t="str">
        <f>C240</f>
        <v xml:space="preserve"> = </v>
      </c>
      <c r="E240" s="132" t="s">
        <v>331</v>
      </c>
      <c r="F240" s="132" t="str">
        <f>C240</f>
        <v xml:space="preserve"> = </v>
      </c>
      <c r="G240" s="124" t="str">
        <f t="shared" si="10"/>
        <v>L240</v>
      </c>
      <c r="H240" s="141"/>
    </row>
    <row r="241" spans="1:8" ht="25.5" x14ac:dyDescent="0.2">
      <c r="A241" s="129">
        <v>221</v>
      </c>
      <c r="B241" s="131" t="str">
        <f t="shared" si="11"/>
        <v>Nur die gelben Felder sind Eingabefelder</v>
      </c>
      <c r="C241" s="132" t="s">
        <v>332</v>
      </c>
      <c r="D241" s="131" t="s">
        <v>333</v>
      </c>
      <c r="E241" s="132" t="s">
        <v>757</v>
      </c>
      <c r="F241" s="132" t="str">
        <f>C241</f>
        <v>Nur die gelben Felder sind Eingabefelder</v>
      </c>
      <c r="G241" s="124" t="str">
        <f t="shared" si="10"/>
        <v>L241</v>
      </c>
      <c r="H241" s="141"/>
    </row>
    <row r="242" spans="1:8" x14ac:dyDescent="0.2">
      <c r="A242" s="129">
        <v>222</v>
      </c>
      <c r="B242" s="131">
        <f t="shared" si="11"/>
        <v>0</v>
      </c>
      <c r="C242" s="131"/>
      <c r="D242" s="131"/>
      <c r="E242" s="131"/>
      <c r="F242" s="131"/>
      <c r="G242" s="131" t="str">
        <f t="shared" si="10"/>
        <v>L242</v>
      </c>
      <c r="H242" s="141"/>
    </row>
    <row r="243" spans="1:8" x14ac:dyDescent="0.2">
      <c r="A243" s="129">
        <v>223</v>
      </c>
      <c r="B243" s="131">
        <f t="shared" si="11"/>
        <v>0</v>
      </c>
      <c r="C243" s="131"/>
      <c r="D243" s="131"/>
      <c r="E243" s="131"/>
      <c r="F243" s="131"/>
      <c r="G243" s="131" t="str">
        <f t="shared" si="10"/>
        <v>L243</v>
      </c>
      <c r="H243" s="141"/>
    </row>
    <row r="244" spans="1:8" x14ac:dyDescent="0.2">
      <c r="A244" s="129">
        <v>224</v>
      </c>
      <c r="B244" s="131">
        <f t="shared" si="11"/>
        <v>0</v>
      </c>
      <c r="C244" s="131"/>
      <c r="D244" s="131"/>
      <c r="E244" s="131"/>
      <c r="F244" s="131"/>
      <c r="G244" s="131" t="str">
        <f t="shared" si="10"/>
        <v>L244</v>
      </c>
      <c r="H244" s="141"/>
    </row>
    <row r="245" spans="1:8" x14ac:dyDescent="0.2">
      <c r="A245" s="129">
        <v>225</v>
      </c>
      <c r="B245" s="131">
        <f t="shared" si="11"/>
        <v>0</v>
      </c>
      <c r="C245" s="131"/>
      <c r="D245" s="131"/>
      <c r="E245" s="131"/>
      <c r="F245" s="131"/>
      <c r="G245" s="131" t="str">
        <f t="shared" si="10"/>
        <v>L245</v>
      </c>
      <c r="H245" s="141"/>
    </row>
    <row r="246" spans="1:8" x14ac:dyDescent="0.2">
      <c r="A246" s="129">
        <v>226</v>
      </c>
      <c r="B246" s="131">
        <f t="shared" si="11"/>
        <v>0</v>
      </c>
      <c r="C246" s="131"/>
      <c r="D246" s="131"/>
      <c r="E246" s="131"/>
      <c r="F246" s="131"/>
      <c r="G246" s="131" t="str">
        <f t="shared" si="10"/>
        <v>L246</v>
      </c>
      <c r="H246" s="141"/>
    </row>
    <row r="247" spans="1:8" x14ac:dyDescent="0.2">
      <c r="A247" s="129">
        <v>227</v>
      </c>
      <c r="B247" s="131">
        <f t="shared" si="11"/>
        <v>0</v>
      </c>
      <c r="C247" s="131"/>
      <c r="D247" s="131"/>
      <c r="E247" s="131"/>
      <c r="F247" s="131"/>
      <c r="G247" s="131" t="str">
        <f t="shared" si="10"/>
        <v>L247</v>
      </c>
      <c r="H247" s="141"/>
    </row>
    <row r="248" spans="1:8" x14ac:dyDescent="0.2">
      <c r="A248" s="129">
        <v>228</v>
      </c>
      <c r="B248" s="131">
        <f t="shared" si="11"/>
        <v>0</v>
      </c>
      <c r="C248" s="131"/>
      <c r="D248" s="131"/>
      <c r="E248" s="131"/>
      <c r="F248" s="131"/>
      <c r="G248" s="131" t="str">
        <f t="shared" si="10"/>
        <v>L248</v>
      </c>
      <c r="H248" s="141"/>
    </row>
    <row r="249" spans="1:8" x14ac:dyDescent="0.2">
      <c r="A249" s="129">
        <v>229</v>
      </c>
      <c r="B249" s="131">
        <f t="shared" si="11"/>
        <v>0</v>
      </c>
      <c r="C249" s="131"/>
      <c r="D249" s="131"/>
      <c r="E249" s="131"/>
      <c r="F249" s="131"/>
      <c r="G249" s="131" t="str">
        <f t="shared" si="10"/>
        <v>L249</v>
      </c>
      <c r="H249" s="141"/>
    </row>
    <row r="250" spans="1:8" x14ac:dyDescent="0.2">
      <c r="A250" s="129">
        <v>230</v>
      </c>
      <c r="B250" s="131" t="str">
        <f t="shared" si="11"/>
        <v>Tag</v>
      </c>
      <c r="C250" s="132" t="s">
        <v>303</v>
      </c>
      <c r="D250" s="131"/>
      <c r="E250" s="131" t="s">
        <v>642</v>
      </c>
      <c r="F250" s="131"/>
      <c r="G250" s="131" t="str">
        <f t="shared" si="10"/>
        <v>L250</v>
      </c>
      <c r="H250" s="141"/>
    </row>
    <row r="251" spans="1:8" x14ac:dyDescent="0.2">
      <c r="A251" s="129">
        <v>231</v>
      </c>
      <c r="B251" s="131" t="str">
        <f t="shared" si="11"/>
        <v>Sollstunden</v>
      </c>
      <c r="C251" s="132" t="s">
        <v>334</v>
      </c>
      <c r="D251" s="131"/>
      <c r="E251" s="131" t="s">
        <v>699</v>
      </c>
      <c r="F251" s="131"/>
      <c r="G251" s="131" t="str">
        <f t="shared" si="10"/>
        <v>L251</v>
      </c>
      <c r="H251" s="141"/>
    </row>
    <row r="252" spans="1:8" x14ac:dyDescent="0.2">
      <c r="A252" s="129">
        <v>232</v>
      </c>
      <c r="B252" s="131" t="str">
        <f t="shared" si="11"/>
        <v>Feiertage</v>
      </c>
      <c r="C252" s="132" t="s">
        <v>165</v>
      </c>
      <c r="D252" s="131"/>
      <c r="E252" s="131" t="s">
        <v>698</v>
      </c>
      <c r="F252" s="131"/>
      <c r="G252" s="131" t="str">
        <f t="shared" si="10"/>
        <v>L252</v>
      </c>
      <c r="H252" s="141"/>
    </row>
    <row r="253" spans="1:8" x14ac:dyDescent="0.2">
      <c r="A253" s="129">
        <v>233</v>
      </c>
      <c r="B253" s="131">
        <f t="shared" ref="B253:B284" si="12">HLOOKUP($B$13,$C$21:$G$820,A253,FALSE)</f>
        <v>0</v>
      </c>
      <c r="C253" s="131"/>
      <c r="D253" s="131"/>
      <c r="E253" s="131"/>
      <c r="F253" s="131"/>
      <c r="G253" s="131" t="str">
        <f t="shared" si="10"/>
        <v>L253</v>
      </c>
      <c r="H253" s="141"/>
    </row>
    <row r="254" spans="1:8" x14ac:dyDescent="0.2">
      <c r="A254" s="129">
        <v>234</v>
      </c>
      <c r="B254" s="131" t="str">
        <f t="shared" si="12"/>
        <v>Produktivstunden</v>
      </c>
      <c r="C254" s="132" t="s">
        <v>335</v>
      </c>
      <c r="D254" s="131"/>
      <c r="E254" s="131" t="s">
        <v>700</v>
      </c>
      <c r="F254" s="131"/>
      <c r="G254" s="131" t="str">
        <f t="shared" si="10"/>
        <v>L254</v>
      </c>
      <c r="H254" s="141"/>
    </row>
    <row r="255" spans="1:8" x14ac:dyDescent="0.2">
      <c r="A255" s="129">
        <v>235</v>
      </c>
      <c r="B255" s="131">
        <f t="shared" si="12"/>
        <v>0</v>
      </c>
      <c r="C255" s="131"/>
      <c r="D255" s="131"/>
      <c r="E255" s="131"/>
      <c r="F255" s="131"/>
      <c r="G255" s="131" t="str">
        <f t="shared" si="10"/>
        <v>L255</v>
      </c>
      <c r="H255" s="141"/>
    </row>
    <row r="256" spans="1:8" x14ac:dyDescent="0.2">
      <c r="A256" s="129">
        <v>236</v>
      </c>
      <c r="B256" s="131">
        <f t="shared" si="12"/>
        <v>0</v>
      </c>
      <c r="C256" s="131"/>
      <c r="D256" s="131"/>
      <c r="E256" s="131"/>
      <c r="F256" s="131"/>
      <c r="G256" s="131" t="str">
        <f t="shared" si="10"/>
        <v>L256</v>
      </c>
      <c r="H256" s="141"/>
    </row>
    <row r="257" spans="1:8" x14ac:dyDescent="0.2">
      <c r="A257" s="129">
        <v>237</v>
      </c>
      <c r="B257" s="131" t="str">
        <f t="shared" si="12"/>
        <v>00.00-06.00h</v>
      </c>
      <c r="C257" s="131" t="s">
        <v>336</v>
      </c>
      <c r="D257" s="131" t="str">
        <f>C257</f>
        <v>00.00-06.00h</v>
      </c>
      <c r="E257" s="132" t="s">
        <v>337</v>
      </c>
      <c r="F257" s="131" t="s">
        <v>338</v>
      </c>
      <c r="G257" s="131" t="str">
        <f t="shared" si="10"/>
        <v>L257</v>
      </c>
      <c r="H257" s="141"/>
    </row>
    <row r="258" spans="1:8" x14ac:dyDescent="0.2">
      <c r="A258" s="129">
        <v>238</v>
      </c>
      <c r="B258" s="131" t="str">
        <f t="shared" si="12"/>
        <v>06.00-20.00h</v>
      </c>
      <c r="C258" s="131" t="s">
        <v>339</v>
      </c>
      <c r="D258" s="131" t="str">
        <f>C258</f>
        <v>06.00-20.00h</v>
      </c>
      <c r="E258" s="132" t="s">
        <v>340</v>
      </c>
      <c r="F258" s="131" t="s">
        <v>341</v>
      </c>
      <c r="G258" s="131" t="str">
        <f t="shared" si="10"/>
        <v>L258</v>
      </c>
      <c r="H258" s="141"/>
    </row>
    <row r="259" spans="1:8" x14ac:dyDescent="0.2">
      <c r="A259" s="129">
        <v>239</v>
      </c>
      <c r="B259" s="131" t="str">
        <f t="shared" si="12"/>
        <v>20.00-24.00h</v>
      </c>
      <c r="C259" s="131" t="s">
        <v>342</v>
      </c>
      <c r="D259" s="131" t="str">
        <f>C259</f>
        <v>20.00-24.00h</v>
      </c>
      <c r="E259" s="132" t="s">
        <v>343</v>
      </c>
      <c r="F259" s="131" t="s">
        <v>344</v>
      </c>
      <c r="G259" s="131" t="str">
        <f t="shared" si="10"/>
        <v>L259</v>
      </c>
      <c r="H259" s="141"/>
    </row>
    <row r="260" spans="1:8" x14ac:dyDescent="0.2">
      <c r="A260" s="129">
        <v>240</v>
      </c>
      <c r="B260" s="131" t="str">
        <f t="shared" si="12"/>
        <v>Tagestotal</v>
      </c>
      <c r="C260" s="132" t="s">
        <v>162</v>
      </c>
      <c r="D260" s="131" t="s">
        <v>756</v>
      </c>
      <c r="E260" s="131" t="s">
        <v>755</v>
      </c>
      <c r="F260" s="131"/>
      <c r="G260" s="131" t="str">
        <f t="shared" si="10"/>
        <v>L260</v>
      </c>
      <c r="H260" s="141"/>
    </row>
    <row r="261" spans="1:8" x14ac:dyDescent="0.2">
      <c r="A261" s="129">
        <v>241</v>
      </c>
      <c r="B261" s="131" t="str">
        <f t="shared" si="12"/>
        <v>Wochentotal</v>
      </c>
      <c r="C261" s="132" t="s">
        <v>345</v>
      </c>
      <c r="D261" s="131"/>
      <c r="E261" s="131"/>
      <c r="F261" s="131"/>
      <c r="G261" s="131" t="str">
        <f t="shared" si="10"/>
        <v>L261</v>
      </c>
      <c r="H261" s="141"/>
    </row>
    <row r="262" spans="1:8" x14ac:dyDescent="0.2">
      <c r="A262" s="129">
        <v>242</v>
      </c>
      <c r="B262" s="131">
        <f t="shared" si="12"/>
        <v>0</v>
      </c>
      <c r="C262" s="131"/>
      <c r="D262" s="131"/>
      <c r="E262" s="131"/>
      <c r="F262" s="131"/>
      <c r="G262" s="131" t="str">
        <f t="shared" si="10"/>
        <v>L262</v>
      </c>
      <c r="H262" s="141"/>
    </row>
    <row r="263" spans="1:8" x14ac:dyDescent="0.2">
      <c r="A263" s="129">
        <v>243</v>
      </c>
      <c r="B263" s="131" t="str">
        <f t="shared" si="12"/>
        <v>Gutschriften und Zuschläge</v>
      </c>
      <c r="C263" s="132" t="s">
        <v>177</v>
      </c>
      <c r="D263" s="131"/>
      <c r="E263" s="131" t="s">
        <v>754</v>
      </c>
      <c r="F263" s="131"/>
      <c r="G263" s="131" t="str">
        <f t="shared" si="10"/>
        <v>L263</v>
      </c>
      <c r="H263" s="141"/>
    </row>
    <row r="264" spans="1:8" ht="25.5" x14ac:dyDescent="0.2">
      <c r="A264" s="129">
        <v>244</v>
      </c>
      <c r="B264" s="131" t="str">
        <f t="shared" si="12"/>
        <v>1)   25% Zeitzuschlag für Überschreitung Höchstarbeitszeit</v>
      </c>
      <c r="C264" s="132" t="str">
        <f>"1)   "&amp;TEXT(A_fldZ1,"#%")&amp;" Zeitzuschlag für Überschreitung Höchstarbeitszeit"</f>
        <v>1)   25% Zeitzuschlag für Überschreitung Höchstarbeitszeit</v>
      </c>
      <c r="D264" s="132" t="str">
        <f>"1)   "&amp;TEXT(A_fldZ1,"#%")&amp;" bonus for exceeding maximum hours"</f>
        <v>1)   25% bonus for exceeding maximum hours</v>
      </c>
      <c r="E264" s="132" t="str">
        <f>"1)  "&amp;TEXT(A_fldZ1,"#%")&amp;" majoration temporelle pour depassement les heures maximales"</f>
        <v>1)  25% majoration temporelle pour depassement les heures maximales</v>
      </c>
      <c r="F264" s="131" t="str">
        <f>"1)   "&amp;TEXT(A_fldZ1,"#%")&amp;""</f>
        <v>1)   25%</v>
      </c>
      <c r="G264" s="131" t="str">
        <f t="shared" si="10"/>
        <v>L264</v>
      </c>
      <c r="H264" s="141"/>
    </row>
    <row r="265" spans="1:8" ht="25.5" x14ac:dyDescent="0.2">
      <c r="A265" s="129">
        <v>245</v>
      </c>
      <c r="B265" s="131" t="str">
        <f t="shared" si="12"/>
        <v>2) 100% Zeitzuschlag für Nachtarbeit</v>
      </c>
      <c r="C265" s="132" t="str">
        <f>"2) "&amp;TEXT(A_fldZ2,"#%")&amp;" Zeitzuschlag für Nachtarbeit"</f>
        <v>2) 100% Zeitzuschlag für Nachtarbeit</v>
      </c>
      <c r="D265" s="132" t="str">
        <f>"2) "&amp;TEXT(A_fldZ2,"#%")&amp;" bonus for nighttime work"</f>
        <v>2) 100% bonus for nighttime work</v>
      </c>
      <c r="E265" s="132" t="str">
        <f>"2) "&amp;TEXT(A_fldZ2,"#%")&amp;" majoration temporelle pour travail de nuit"</f>
        <v>2) 100% majoration temporelle pour travail de nuit</v>
      </c>
      <c r="F265" s="131" t="str">
        <f>"2) "&amp;TEXT(A_fldZ2,"#%")&amp;""</f>
        <v>2) 100%</v>
      </c>
      <c r="G265" s="131" t="str">
        <f t="shared" si="10"/>
        <v>L265</v>
      </c>
      <c r="H265" s="141"/>
    </row>
    <row r="266" spans="1:8" ht="25.5" x14ac:dyDescent="0.2">
      <c r="A266" s="129">
        <v>246</v>
      </c>
      <c r="B266" s="131" t="str">
        <f t="shared" si="12"/>
        <v>3) 100% Zeitzuschlag für Sonn- und Feiertagsarbeit</v>
      </c>
      <c r="C266" s="132" t="str">
        <f>"3) "&amp;TEXT(A_fldZ3,"#%")&amp;" Zeitzuschlag für Sonn- und Feiertagsarbeit"</f>
        <v>3) 100% Zeitzuschlag für Sonn- und Feiertagsarbeit</v>
      </c>
      <c r="D266" s="132" t="str">
        <f>"3) "&amp;TEXT(A_fldZ3,"#%")&amp;" bonus for Sunday and holiday work"</f>
        <v>3) 100% bonus for Sunday and holiday work</v>
      </c>
      <c r="E266" s="132" t="str">
        <f>"3) "&amp;TEXT(A_fldZ3,"#%")&amp;" majoration temporelle pour travail du dimanche et jour férié"</f>
        <v>3) 100% majoration temporelle pour travail du dimanche et jour férié</v>
      </c>
      <c r="F266" s="131" t="str">
        <f>"3) "&amp;TEXT(A_fldZ3,"#%")&amp;""</f>
        <v>3) 100%</v>
      </c>
      <c r="G266" s="131" t="str">
        <f t="shared" si="10"/>
        <v>L266</v>
      </c>
      <c r="H266" s="141"/>
    </row>
    <row r="267" spans="1:8" x14ac:dyDescent="0.2">
      <c r="A267" s="129">
        <v>247</v>
      </c>
      <c r="B267" s="131" t="str">
        <f t="shared" si="12"/>
        <v>.</v>
      </c>
      <c r="C267" s="132" t="s">
        <v>296</v>
      </c>
      <c r="D267" s="131"/>
      <c r="E267" s="131"/>
      <c r="F267" s="131"/>
      <c r="G267" s="131" t="str">
        <f t="shared" si="10"/>
        <v>L267</v>
      </c>
      <c r="H267" s="141"/>
    </row>
    <row r="268" spans="1:8" x14ac:dyDescent="0.2">
      <c r="A268" s="129">
        <v>248</v>
      </c>
      <c r="B268" s="131" t="str">
        <f t="shared" si="12"/>
        <v>Gutschrift "ft"</v>
      </c>
      <c r="C268" s="132" t="s">
        <v>346</v>
      </c>
      <c r="D268" s="131" t="s">
        <v>347</v>
      </c>
      <c r="E268" s="132" t="s">
        <v>348</v>
      </c>
      <c r="F268" s="131" t="s">
        <v>349</v>
      </c>
      <c r="G268" s="131" t="str">
        <f t="shared" si="10"/>
        <v>L268</v>
      </c>
      <c r="H268" s="141"/>
    </row>
    <row r="269" spans="1:8" x14ac:dyDescent="0.2">
      <c r="A269" s="129">
        <v>249</v>
      </c>
      <c r="B269" s="131" t="str">
        <f t="shared" si="12"/>
        <v>Zeitzuschlag 1)</v>
      </c>
      <c r="C269" s="132" t="s">
        <v>350</v>
      </c>
      <c r="D269" s="132" t="s">
        <v>351</v>
      </c>
      <c r="E269" s="132" t="s">
        <v>352</v>
      </c>
      <c r="F269" s="131" t="s">
        <v>353</v>
      </c>
      <c r="G269" s="131" t="str">
        <f t="shared" si="10"/>
        <v>L269</v>
      </c>
      <c r="H269" s="141"/>
    </row>
    <row r="270" spans="1:8" x14ac:dyDescent="0.2">
      <c r="A270" s="129">
        <v>250</v>
      </c>
      <c r="B270" s="131" t="str">
        <f t="shared" si="12"/>
        <v>Zeitzuschlag 2)</v>
      </c>
      <c r="C270" s="132" t="s">
        <v>354</v>
      </c>
      <c r="D270" s="132" t="s">
        <v>355</v>
      </c>
      <c r="E270" s="132" t="s">
        <v>356</v>
      </c>
      <c r="F270" s="131" t="s">
        <v>357</v>
      </c>
      <c r="G270" s="131" t="str">
        <f t="shared" si="10"/>
        <v>L270</v>
      </c>
      <c r="H270" s="141"/>
    </row>
    <row r="271" spans="1:8" x14ac:dyDescent="0.2">
      <c r="A271" s="129">
        <v>251</v>
      </c>
      <c r="B271" s="131" t="str">
        <f t="shared" si="12"/>
        <v>Zeitzuschlag 3)</v>
      </c>
      <c r="C271" s="132" t="s">
        <v>358</v>
      </c>
      <c r="D271" s="132" t="s">
        <v>359</v>
      </c>
      <c r="E271" s="132" t="s">
        <v>360</v>
      </c>
      <c r="F271" s="131" t="s">
        <v>361</v>
      </c>
      <c r="G271" s="131" t="str">
        <f t="shared" si="10"/>
        <v>L271</v>
      </c>
      <c r="H271" s="141"/>
    </row>
    <row r="272" spans="1:8" x14ac:dyDescent="0.2">
      <c r="A272" s="129">
        <v>252</v>
      </c>
      <c r="B272" s="131">
        <f t="shared" si="12"/>
        <v>0</v>
      </c>
      <c r="C272" s="131"/>
      <c r="D272" s="131"/>
      <c r="E272" s="131"/>
      <c r="F272" s="131"/>
      <c r="G272" s="131" t="str">
        <f t="shared" si="10"/>
        <v>L272</v>
      </c>
      <c r="H272" s="141"/>
    </row>
    <row r="273" spans="1:8" x14ac:dyDescent="0.2">
      <c r="A273" s="129">
        <v>253</v>
      </c>
      <c r="B273" s="131" t="str">
        <f t="shared" si="12"/>
        <v>Unproduktive Stunden</v>
      </c>
      <c r="C273" s="132" t="s">
        <v>362</v>
      </c>
      <c r="D273" s="131"/>
      <c r="E273" s="131"/>
      <c r="F273" s="131"/>
      <c r="G273" s="131" t="str">
        <f t="shared" si="10"/>
        <v>L273</v>
      </c>
      <c r="H273" s="141"/>
    </row>
    <row r="274" spans="1:8" x14ac:dyDescent="0.2">
      <c r="A274" s="129">
        <v>254</v>
      </c>
      <c r="B274" s="131">
        <f t="shared" si="12"/>
        <v>0</v>
      </c>
      <c r="C274" s="131"/>
      <c r="D274" s="131"/>
      <c r="E274" s="131"/>
      <c r="F274" s="131"/>
      <c r="G274" s="131" t="str">
        <f t="shared" si="10"/>
        <v>L274</v>
      </c>
      <c r="H274" s="141"/>
    </row>
    <row r="275" spans="1:8" x14ac:dyDescent="0.2">
      <c r="A275" s="129">
        <v>255</v>
      </c>
      <c r="B275" s="131">
        <f t="shared" si="12"/>
        <v>0</v>
      </c>
      <c r="C275" s="131"/>
      <c r="D275" s="131"/>
      <c r="E275" s="131"/>
      <c r="F275" s="131"/>
      <c r="G275" s="131" t="str">
        <f t="shared" si="10"/>
        <v>L275</v>
      </c>
      <c r="H275" s="141"/>
    </row>
    <row r="276" spans="1:8" x14ac:dyDescent="0.2">
      <c r="A276" s="129">
        <v>256</v>
      </c>
      <c r="B276" s="131" t="str">
        <f t="shared" si="12"/>
        <v>Ferien</v>
      </c>
      <c r="C276" s="131" t="s">
        <v>166</v>
      </c>
      <c r="D276" s="131"/>
      <c r="E276" s="131" t="s">
        <v>630</v>
      </c>
      <c r="F276" s="131"/>
      <c r="G276" s="131" t="str">
        <f t="shared" si="10"/>
        <v>L276</v>
      </c>
      <c r="H276" s="141"/>
    </row>
    <row r="277" spans="1:8" x14ac:dyDescent="0.2">
      <c r="A277" s="129">
        <v>257</v>
      </c>
      <c r="B277" s="131" t="str">
        <f t="shared" si="12"/>
        <v>Kompensation Vorjahr</v>
      </c>
      <c r="C277" s="131" t="s">
        <v>363</v>
      </c>
      <c r="D277" s="131"/>
      <c r="E277" s="131" t="s">
        <v>750</v>
      </c>
      <c r="F277" s="131"/>
      <c r="G277" s="131" t="str">
        <f t="shared" si="10"/>
        <v>L277</v>
      </c>
      <c r="H277" s="141"/>
    </row>
    <row r="278" spans="1:8" x14ac:dyDescent="0.2">
      <c r="A278" s="129">
        <v>258</v>
      </c>
      <c r="B278" s="131" t="str">
        <f t="shared" si="12"/>
        <v>Kompensation laufend</v>
      </c>
      <c r="C278" s="131" t="s">
        <v>213</v>
      </c>
      <c r="D278" s="131"/>
      <c r="E278" s="131" t="s">
        <v>751</v>
      </c>
      <c r="F278" s="131"/>
      <c r="G278" s="131" t="str">
        <f t="shared" si="10"/>
        <v>L278</v>
      </c>
      <c r="H278" s="141"/>
    </row>
    <row r="279" spans="1:8" x14ac:dyDescent="0.2">
      <c r="A279" s="129">
        <v>259</v>
      </c>
      <c r="B279" s="131" t="str">
        <f t="shared" si="12"/>
        <v>Absenzen, Kurzabsenzen</v>
      </c>
      <c r="C279" s="131" t="s">
        <v>188</v>
      </c>
      <c r="D279" s="131"/>
      <c r="E279" s="131" t="s">
        <v>702</v>
      </c>
      <c r="F279" s="131"/>
      <c r="G279" s="131" t="str">
        <f t="shared" si="10"/>
        <v>L279</v>
      </c>
      <c r="H279" s="141"/>
    </row>
    <row r="280" spans="1:8" x14ac:dyDescent="0.2">
      <c r="A280" s="129">
        <v>260</v>
      </c>
      <c r="B280" s="131" t="str">
        <f t="shared" si="12"/>
        <v>Krankheit</v>
      </c>
      <c r="C280" s="131" t="s">
        <v>191</v>
      </c>
      <c r="D280" s="131"/>
      <c r="E280" s="131" t="s">
        <v>703</v>
      </c>
      <c r="F280" s="131"/>
      <c r="G280" s="131" t="str">
        <f t="shared" si="10"/>
        <v>L280</v>
      </c>
      <c r="H280" s="141"/>
    </row>
    <row r="281" spans="1:8" x14ac:dyDescent="0.2">
      <c r="A281" s="129">
        <v>261</v>
      </c>
      <c r="B281" s="131" t="str">
        <f t="shared" si="12"/>
        <v>Unfall</v>
      </c>
      <c r="C281" s="131" t="s">
        <v>194</v>
      </c>
      <c r="D281" s="131"/>
      <c r="E281" s="131" t="s">
        <v>704</v>
      </c>
      <c r="F281" s="131"/>
      <c r="G281" s="131" t="str">
        <f t="shared" ref="G281:G344" si="13">"L"&amp;ROW()</f>
        <v>L281</v>
      </c>
      <c r="H281" s="141"/>
    </row>
    <row r="282" spans="1:8" x14ac:dyDescent="0.2">
      <c r="A282" s="129">
        <v>262</v>
      </c>
      <c r="B282" s="131" t="str">
        <f t="shared" si="12"/>
        <v>Schwanger-/ Mutter-/ Vaterschaft</v>
      </c>
      <c r="C282" s="132" t="s">
        <v>364</v>
      </c>
      <c r="D282" s="131"/>
      <c r="E282" s="131" t="s">
        <v>705</v>
      </c>
      <c r="F282" s="131"/>
      <c r="G282" s="131" t="str">
        <f t="shared" si="13"/>
        <v>L282</v>
      </c>
      <c r="H282" s="141"/>
    </row>
    <row r="283" spans="1:8" x14ac:dyDescent="0.2">
      <c r="A283" s="129">
        <v>263</v>
      </c>
      <c r="B283" s="131" t="str">
        <f t="shared" si="12"/>
        <v>Militär/Zivildienst</v>
      </c>
      <c r="C283" s="131" t="s">
        <v>707</v>
      </c>
      <c r="D283" s="131"/>
      <c r="E283" s="131" t="s">
        <v>708</v>
      </c>
      <c r="F283" s="131"/>
      <c r="G283" s="131" t="str">
        <f t="shared" si="13"/>
        <v>L283</v>
      </c>
      <c r="H283" s="141"/>
    </row>
    <row r="284" spans="1:8" x14ac:dyDescent="0.2">
      <c r="A284" s="129">
        <v>264</v>
      </c>
      <c r="B284" s="131" t="str">
        <f t="shared" si="12"/>
        <v>Berufsschule</v>
      </c>
      <c r="C284" s="131" t="s">
        <v>203</v>
      </c>
      <c r="D284" s="131"/>
      <c r="E284" s="131" t="s">
        <v>709</v>
      </c>
      <c r="F284" s="131"/>
      <c r="G284" s="131" t="str">
        <f t="shared" si="13"/>
        <v>L284</v>
      </c>
      <c r="H284" s="141"/>
    </row>
    <row r="285" spans="1:8" x14ac:dyDescent="0.2">
      <c r="A285" s="129">
        <v>265</v>
      </c>
      <c r="B285" s="131" t="str">
        <f t="shared" ref="B285:B316" si="14">HLOOKUP($B$13,$C$21:$G$820,A285,FALSE)</f>
        <v>Kurse</v>
      </c>
      <c r="C285" s="131" t="s">
        <v>205</v>
      </c>
      <c r="D285" s="131"/>
      <c r="E285" s="131" t="s">
        <v>710</v>
      </c>
      <c r="F285" s="131"/>
      <c r="G285" s="131" t="str">
        <f t="shared" si="13"/>
        <v>L285</v>
      </c>
      <c r="H285" s="141"/>
    </row>
    <row r="286" spans="1:8" x14ac:dyDescent="0.2">
      <c r="A286" s="129">
        <v>266</v>
      </c>
      <c r="B286" s="131" t="str">
        <f t="shared" si="14"/>
        <v>Kurzarbeit und Schlechtwetter</v>
      </c>
      <c r="C286" s="131" t="s">
        <v>365</v>
      </c>
      <c r="D286" s="131"/>
      <c r="E286" s="131" t="s">
        <v>711</v>
      </c>
      <c r="F286" s="131"/>
      <c r="G286" s="131" t="str">
        <f t="shared" si="13"/>
        <v>L286</v>
      </c>
      <c r="H286" s="141"/>
    </row>
    <row r="287" spans="1:8" x14ac:dyDescent="0.2">
      <c r="A287" s="129">
        <v>267</v>
      </c>
      <c r="B287" s="131" t="str">
        <f t="shared" si="14"/>
        <v>Ferien unbezahlt</v>
      </c>
      <c r="C287" s="131" t="s">
        <v>225</v>
      </c>
      <c r="D287" s="131"/>
      <c r="E287" s="131" t="s">
        <v>712</v>
      </c>
      <c r="F287" s="131"/>
      <c r="G287" s="131" t="str">
        <f t="shared" si="13"/>
        <v>L287</v>
      </c>
      <c r="H287" s="141"/>
    </row>
    <row r="288" spans="1:8" x14ac:dyDescent="0.2">
      <c r="A288" s="129">
        <v>268</v>
      </c>
      <c r="B288" s="131" t="str">
        <f t="shared" si="14"/>
        <v>Fehlstunden unbezahlt</v>
      </c>
      <c r="C288" s="131" t="s">
        <v>366</v>
      </c>
      <c r="D288" s="131"/>
      <c r="E288" s="131" t="s">
        <v>713</v>
      </c>
      <c r="F288" s="131"/>
      <c r="G288" s="131" t="str">
        <f t="shared" si="13"/>
        <v>L288</v>
      </c>
      <c r="H288" s="141"/>
    </row>
    <row r="289" spans="1:8" x14ac:dyDescent="0.2">
      <c r="A289" s="129">
        <v>269</v>
      </c>
      <c r="B289" s="131" t="str">
        <f t="shared" si="14"/>
        <v>Unproduktive Std. Total</v>
      </c>
      <c r="C289" s="132" t="s">
        <v>367</v>
      </c>
      <c r="D289" s="131"/>
      <c r="E289" s="131" t="s">
        <v>715</v>
      </c>
      <c r="F289" s="131"/>
      <c r="G289" s="131" t="str">
        <f t="shared" si="13"/>
        <v>L289</v>
      </c>
      <c r="H289" s="141"/>
    </row>
    <row r="290" spans="1:8" x14ac:dyDescent="0.2">
      <c r="A290" s="129">
        <v>270</v>
      </c>
      <c r="B290" s="131">
        <f t="shared" si="14"/>
        <v>0</v>
      </c>
      <c r="C290" s="131"/>
      <c r="D290" s="131"/>
      <c r="E290" s="131"/>
      <c r="F290" s="131"/>
      <c r="G290" s="131" t="str">
        <f t="shared" si="13"/>
        <v>L290</v>
      </c>
      <c r="H290" s="141"/>
    </row>
    <row r="291" spans="1:8" x14ac:dyDescent="0.2">
      <c r="A291" s="129">
        <v>271</v>
      </c>
      <c r="B291" s="131" t="str">
        <f t="shared" si="14"/>
        <v>Steuerung &amp; Korrekturen</v>
      </c>
      <c r="C291" s="132" t="s">
        <v>368</v>
      </c>
      <c r="D291" s="131"/>
      <c r="E291" s="131" t="s">
        <v>714</v>
      </c>
      <c r="F291" s="131"/>
      <c r="G291" s="131" t="str">
        <f t="shared" si="13"/>
        <v>L291</v>
      </c>
      <c r="H291" s="141"/>
    </row>
    <row r="292" spans="1:8" ht="25.5" x14ac:dyDescent="0.2">
      <c r="A292" s="129">
        <v>272</v>
      </c>
      <c r="B292" s="131" t="str">
        <f t="shared" si="14"/>
        <v>Korrektur-Tage mit einem x markieren =&gt;</v>
      </c>
      <c r="C292" s="132" t="s">
        <v>369</v>
      </c>
      <c r="D292" s="131"/>
      <c r="E292" s="131" t="s">
        <v>741</v>
      </c>
      <c r="F292" s="131"/>
      <c r="G292" s="131" t="str">
        <f t="shared" si="13"/>
        <v>L292</v>
      </c>
      <c r="H292" s="141"/>
    </row>
    <row r="293" spans="1:8" x14ac:dyDescent="0.2">
      <c r="A293" s="129">
        <v>273</v>
      </c>
      <c r="B293" s="131">
        <f t="shared" si="14"/>
        <v>0</v>
      </c>
      <c r="C293" s="131"/>
      <c r="D293" s="131"/>
      <c r="E293" s="131"/>
      <c r="F293" s="131"/>
      <c r="G293" s="131" t="str">
        <f t="shared" si="13"/>
        <v>L293</v>
      </c>
      <c r="H293" s="141"/>
    </row>
    <row r="294" spans="1:8" x14ac:dyDescent="0.2">
      <c r="A294" s="129">
        <v>274</v>
      </c>
      <c r="B294" s="131" t="str">
        <f t="shared" si="14"/>
        <v>Karenztag (Krankheit)</v>
      </c>
      <c r="C294" s="132" t="s">
        <v>370</v>
      </c>
      <c r="D294" s="131"/>
      <c r="E294" s="131" t="s">
        <v>716</v>
      </c>
      <c r="F294" s="131"/>
      <c r="G294" s="131" t="str">
        <f t="shared" si="13"/>
        <v>L294</v>
      </c>
      <c r="H294" s="141"/>
    </row>
    <row r="295" spans="1:8" x14ac:dyDescent="0.2">
      <c r="A295" s="129">
        <v>275</v>
      </c>
      <c r="B295" s="131" t="str">
        <f t="shared" si="14"/>
        <v>Tag ausschliessen</v>
      </c>
      <c r="C295" s="132" t="s">
        <v>371</v>
      </c>
      <c r="D295" s="131"/>
      <c r="E295" s="131" t="s">
        <v>742</v>
      </c>
      <c r="F295" s="131"/>
      <c r="G295" s="131" t="str">
        <f t="shared" si="13"/>
        <v>L295</v>
      </c>
      <c r="H295" s="141"/>
    </row>
    <row r="296" spans="1:8" x14ac:dyDescent="0.2">
      <c r="A296" s="129">
        <v>276</v>
      </c>
      <c r="B296" s="131">
        <f t="shared" si="14"/>
        <v>0</v>
      </c>
      <c r="C296" s="131"/>
      <c r="D296" s="131"/>
      <c r="E296" s="131"/>
      <c r="F296" s="131"/>
      <c r="G296" s="131" t="str">
        <f t="shared" si="13"/>
        <v>L296</v>
      </c>
      <c r="H296" s="141"/>
    </row>
    <row r="297" spans="1:8" x14ac:dyDescent="0.2">
      <c r="A297" s="129">
        <v>277</v>
      </c>
      <c r="B297" s="131" t="str">
        <f t="shared" si="14"/>
        <v>manuelle Korrekturen</v>
      </c>
      <c r="C297" s="132" t="s">
        <v>372</v>
      </c>
      <c r="D297" s="131"/>
      <c r="E297" s="131" t="s">
        <v>717</v>
      </c>
      <c r="F297" s="131"/>
      <c r="G297" s="131" t="str">
        <f t="shared" si="13"/>
        <v>L297</v>
      </c>
      <c r="H297" s="141"/>
    </row>
    <row r="298" spans="1:8" x14ac:dyDescent="0.2">
      <c r="A298" s="129">
        <v>278</v>
      </c>
      <c r="B298" s="131" t="str">
        <f t="shared" si="14"/>
        <v>Ausbezahlte Stunden Vorjahressaldo</v>
      </c>
      <c r="C298" s="132" t="s">
        <v>373</v>
      </c>
      <c r="D298" s="131"/>
      <c r="E298" s="131" t="s">
        <v>752</v>
      </c>
      <c r="F298" s="131"/>
      <c r="G298" s="131" t="str">
        <f t="shared" si="13"/>
        <v>L298</v>
      </c>
      <c r="H298" s="141"/>
    </row>
    <row r="299" spans="1:8" ht="25.5" x14ac:dyDescent="0.2">
      <c r="A299" s="129">
        <v>279</v>
      </c>
      <c r="B299" s="131" t="str">
        <f t="shared" si="14"/>
        <v>Ausbezahlte Stunden laufendes Jahr (Überstunden)</v>
      </c>
      <c r="C299" s="132" t="s">
        <v>374</v>
      </c>
      <c r="D299" s="131"/>
      <c r="E299" s="131" t="s">
        <v>753</v>
      </c>
      <c r="F299" s="131"/>
      <c r="G299" s="131" t="str">
        <f t="shared" si="13"/>
        <v>L299</v>
      </c>
      <c r="H299" s="141"/>
    </row>
    <row r="300" spans="1:8" x14ac:dyDescent="0.2">
      <c r="A300" s="129">
        <v>280</v>
      </c>
      <c r="B300" s="131" t="str">
        <f t="shared" si="14"/>
        <v>Gutschrift / Abzug Ferien</v>
      </c>
      <c r="C300" s="132" t="s">
        <v>375</v>
      </c>
      <c r="D300" s="131"/>
      <c r="E300" s="131" t="s">
        <v>743</v>
      </c>
      <c r="F300" s="131"/>
      <c r="G300" s="131" t="str">
        <f t="shared" si="13"/>
        <v>L300</v>
      </c>
      <c r="H300" s="141"/>
    </row>
    <row r="301" spans="1:8" x14ac:dyDescent="0.2">
      <c r="A301" s="129">
        <v>281</v>
      </c>
      <c r="B301" s="131">
        <f t="shared" si="14"/>
        <v>0</v>
      </c>
      <c r="C301" s="131"/>
      <c r="D301" s="131"/>
      <c r="E301" s="131"/>
      <c r="F301" s="131"/>
      <c r="G301" s="131" t="str">
        <f t="shared" si="13"/>
        <v>L301</v>
      </c>
      <c r="H301" s="141"/>
    </row>
    <row r="302" spans="1:8" x14ac:dyDescent="0.2">
      <c r="A302" s="129">
        <v>282</v>
      </c>
      <c r="B302" s="131" t="str">
        <f t="shared" si="14"/>
        <v>Bemerkungen</v>
      </c>
      <c r="C302" s="56" t="s">
        <v>297</v>
      </c>
      <c r="E302" s="124" t="s">
        <v>633</v>
      </c>
      <c r="F302" s="131"/>
      <c r="G302" s="131" t="str">
        <f t="shared" si="13"/>
        <v>L302</v>
      </c>
      <c r="H302" s="141"/>
    </row>
    <row r="303" spans="1:8" x14ac:dyDescent="0.2">
      <c r="A303" s="129">
        <v>283</v>
      </c>
      <c r="B303" s="131">
        <f t="shared" si="14"/>
        <v>0</v>
      </c>
      <c r="F303" s="131"/>
      <c r="G303" s="131" t="str">
        <f t="shared" si="13"/>
        <v>L303</v>
      </c>
      <c r="H303" s="141"/>
    </row>
    <row r="304" spans="1:8" ht="25.5" x14ac:dyDescent="0.2">
      <c r="A304" s="129">
        <v>284</v>
      </c>
      <c r="B304" s="131" t="str">
        <f t="shared" si="14"/>
        <v>Ich habe die Monatsabrechnung kontrolliert und auf ihre Richtigkeit geprüft</v>
      </c>
      <c r="C304" s="56" t="s">
        <v>376</v>
      </c>
      <c r="E304" s="124" t="s">
        <v>744</v>
      </c>
      <c r="F304" s="131"/>
      <c r="G304" s="131" t="str">
        <f t="shared" si="13"/>
        <v>L304</v>
      </c>
      <c r="H304" s="141"/>
    </row>
    <row r="305" spans="1:8" x14ac:dyDescent="0.2">
      <c r="A305" s="129">
        <v>285</v>
      </c>
      <c r="B305" s="131">
        <f t="shared" si="14"/>
        <v>0</v>
      </c>
      <c r="F305" s="131"/>
      <c r="G305" s="131" t="str">
        <f t="shared" si="13"/>
        <v>L305</v>
      </c>
      <c r="H305" s="141"/>
    </row>
    <row r="306" spans="1:8" x14ac:dyDescent="0.2">
      <c r="A306" s="129">
        <v>286</v>
      </c>
      <c r="B306" s="131" t="str">
        <f t="shared" si="14"/>
        <v>Visum Mitarbeiter:in</v>
      </c>
      <c r="C306" s="56" t="s">
        <v>298</v>
      </c>
      <c r="E306" s="124" t="s">
        <v>634</v>
      </c>
      <c r="F306" s="131"/>
      <c r="G306" s="131" t="str">
        <f t="shared" si="13"/>
        <v>L306</v>
      </c>
      <c r="H306" s="141"/>
    </row>
    <row r="307" spans="1:8" x14ac:dyDescent="0.2">
      <c r="A307" s="129">
        <v>287</v>
      </c>
      <c r="B307" s="131" t="str">
        <f t="shared" si="14"/>
        <v>Visum vorgesetzte Stelle</v>
      </c>
      <c r="C307" s="56" t="s">
        <v>299</v>
      </c>
      <c r="E307" s="124" t="s">
        <v>635</v>
      </c>
      <c r="F307" s="131"/>
      <c r="G307" s="131" t="str">
        <f t="shared" si="13"/>
        <v>L307</v>
      </c>
      <c r="H307" s="141"/>
    </row>
    <row r="308" spans="1:8" x14ac:dyDescent="0.2">
      <c r="A308" s="129">
        <v>288</v>
      </c>
      <c r="B308" s="131" t="str">
        <f t="shared" si="14"/>
        <v>Datum</v>
      </c>
      <c r="C308" s="56" t="s">
        <v>127</v>
      </c>
      <c r="E308" s="124" t="s">
        <v>636</v>
      </c>
      <c r="F308" s="131"/>
      <c r="G308" s="131" t="str">
        <f t="shared" si="13"/>
        <v>L308</v>
      </c>
      <c r="H308" s="141"/>
    </row>
    <row r="309" spans="1:8" x14ac:dyDescent="0.2">
      <c r="A309" s="129">
        <v>289</v>
      </c>
      <c r="B309" s="131">
        <f t="shared" si="14"/>
        <v>0</v>
      </c>
      <c r="F309" s="131"/>
      <c r="G309" s="131" t="str">
        <f t="shared" si="13"/>
        <v>L309</v>
      </c>
      <c r="H309" s="141"/>
    </row>
    <row r="310" spans="1:8" x14ac:dyDescent="0.2">
      <c r="A310" s="129">
        <v>290</v>
      </c>
      <c r="B310" s="131" t="str">
        <f t="shared" si="14"/>
        <v>betrieblich festgelegte Ausfälle</v>
      </c>
      <c r="C310" s="56" t="s">
        <v>605</v>
      </c>
      <c r="E310" s="124" t="s">
        <v>706</v>
      </c>
      <c r="F310" s="131"/>
      <c r="G310" s="131" t="str">
        <f t="shared" si="13"/>
        <v>L310</v>
      </c>
      <c r="H310" s="141"/>
    </row>
    <row r="311" spans="1:8" x14ac:dyDescent="0.2">
      <c r="A311" s="129">
        <v>291</v>
      </c>
      <c r="B311" s="131">
        <f t="shared" si="14"/>
        <v>0</v>
      </c>
      <c r="F311" s="131"/>
      <c r="G311" s="131" t="str">
        <f t="shared" si="13"/>
        <v>L311</v>
      </c>
      <c r="H311" s="141"/>
    </row>
    <row r="312" spans="1:8" x14ac:dyDescent="0.2">
      <c r="A312" s="129">
        <v>292</v>
      </c>
      <c r="B312" s="131">
        <f t="shared" si="14"/>
        <v>0</v>
      </c>
      <c r="F312" s="131"/>
      <c r="G312" s="131" t="str">
        <f t="shared" si="13"/>
        <v>L312</v>
      </c>
      <c r="H312" s="141"/>
    </row>
    <row r="313" spans="1:8" x14ac:dyDescent="0.2">
      <c r="A313" s="129">
        <v>293</v>
      </c>
      <c r="B313" s="131">
        <f t="shared" si="14"/>
        <v>0</v>
      </c>
      <c r="F313" s="131"/>
      <c r="G313" s="131" t="str">
        <f t="shared" si="13"/>
        <v>L313</v>
      </c>
      <c r="H313" s="141"/>
    </row>
    <row r="314" spans="1:8" x14ac:dyDescent="0.2">
      <c r="A314" s="129">
        <v>294</v>
      </c>
      <c r="B314" s="131">
        <f t="shared" si="14"/>
        <v>0</v>
      </c>
      <c r="F314" s="131"/>
      <c r="G314" s="131" t="str">
        <f t="shared" si="13"/>
        <v>L314</v>
      </c>
      <c r="H314" s="141"/>
    </row>
    <row r="315" spans="1:8" x14ac:dyDescent="0.2">
      <c r="A315" s="129">
        <v>295</v>
      </c>
      <c r="B315" s="131">
        <f t="shared" si="14"/>
        <v>0</v>
      </c>
      <c r="F315" s="131"/>
      <c r="G315" s="131" t="str">
        <f t="shared" si="13"/>
        <v>L315</v>
      </c>
      <c r="H315" s="141"/>
    </row>
    <row r="316" spans="1:8" x14ac:dyDescent="0.2">
      <c r="A316" s="129">
        <v>296</v>
      </c>
      <c r="B316" s="131">
        <f t="shared" si="14"/>
        <v>0</v>
      </c>
      <c r="F316" s="131"/>
      <c r="G316" s="131" t="str">
        <f t="shared" si="13"/>
        <v>L316</v>
      </c>
      <c r="H316" s="141"/>
    </row>
    <row r="317" spans="1:8" x14ac:dyDescent="0.2">
      <c r="A317" s="129">
        <v>297</v>
      </c>
      <c r="B317" s="131">
        <f t="shared" ref="B317:B319" si="15">HLOOKUP($B$13,$C$21:$G$820,A317,FALSE)</f>
        <v>0</v>
      </c>
      <c r="F317" s="131"/>
      <c r="G317" s="131" t="str">
        <f t="shared" si="13"/>
        <v>L317</v>
      </c>
      <c r="H317" s="141"/>
    </row>
    <row r="318" spans="1:8" x14ac:dyDescent="0.2">
      <c r="A318" s="129">
        <v>298</v>
      </c>
      <c r="B318" s="131">
        <f t="shared" si="15"/>
        <v>0</v>
      </c>
      <c r="F318" s="131"/>
      <c r="G318" s="131" t="str">
        <f t="shared" si="13"/>
        <v>L318</v>
      </c>
      <c r="H318" s="141"/>
    </row>
    <row r="319" spans="1:8" x14ac:dyDescent="0.2">
      <c r="A319" s="129">
        <v>299</v>
      </c>
      <c r="B319" s="131">
        <f t="shared" si="15"/>
        <v>0</v>
      </c>
      <c r="F319" s="131"/>
      <c r="G319" s="131" t="str">
        <f t="shared" si="13"/>
        <v>L319</v>
      </c>
      <c r="H319" s="141"/>
    </row>
    <row r="320" spans="1:8" x14ac:dyDescent="0.2">
      <c r="A320" s="129">
        <v>300</v>
      </c>
      <c r="B320" s="133" t="s">
        <v>259</v>
      </c>
      <c r="C320" s="130"/>
      <c r="D320" s="130"/>
      <c r="E320" s="130"/>
      <c r="F320" s="130"/>
      <c r="G320" s="130" t="str">
        <f t="shared" si="13"/>
        <v>L320</v>
      </c>
      <c r="H320" s="140"/>
    </row>
    <row r="321" spans="1:8" x14ac:dyDescent="0.2">
      <c r="A321" s="129">
        <v>301</v>
      </c>
      <c r="B321" s="131" t="str">
        <f t="shared" ref="B321:B352" si="16">HLOOKUP($B$13,$C$21:$G$820,A321,FALSE)</f>
        <v>Arbeitszeitkontrolle für</v>
      </c>
      <c r="C321" s="56" t="s">
        <v>377</v>
      </c>
      <c r="E321" s="56" t="s">
        <v>768</v>
      </c>
      <c r="F321" s="131"/>
      <c r="G321" s="131" t="str">
        <f t="shared" si="13"/>
        <v>L321</v>
      </c>
    </row>
    <row r="322" spans="1:8" x14ac:dyDescent="0.2">
      <c r="A322" s="129">
        <v>302</v>
      </c>
      <c r="B322" s="131" t="str">
        <f t="shared" si="16"/>
        <v>Jahresübersicht</v>
      </c>
      <c r="C322" s="56" t="s">
        <v>378</v>
      </c>
      <c r="E322" s="56" t="s">
        <v>769</v>
      </c>
      <c r="F322" s="131"/>
      <c r="G322" s="131" t="str">
        <f t="shared" si="13"/>
        <v>L322</v>
      </c>
    </row>
    <row r="323" spans="1:8" x14ac:dyDescent="0.2">
      <c r="A323" s="129">
        <v>303</v>
      </c>
      <c r="B323" s="131" t="str">
        <f t="shared" si="16"/>
        <v>.</v>
      </c>
      <c r="C323" s="56" t="s">
        <v>296</v>
      </c>
      <c r="F323" s="131"/>
      <c r="G323" s="131" t="str">
        <f t="shared" si="13"/>
        <v>L323</v>
      </c>
    </row>
    <row r="324" spans="1:8" x14ac:dyDescent="0.2">
      <c r="A324" s="129">
        <v>304</v>
      </c>
      <c r="B324" s="131" t="str">
        <f t="shared" si="16"/>
        <v>.</v>
      </c>
      <c r="C324" s="56" t="s">
        <v>296</v>
      </c>
      <c r="F324" s="131"/>
      <c r="G324" s="131" t="str">
        <f t="shared" si="13"/>
        <v>L324</v>
      </c>
    </row>
    <row r="325" spans="1:8" x14ac:dyDescent="0.2">
      <c r="A325" s="129">
        <v>305</v>
      </c>
      <c r="B325" s="131" t="str">
        <f t="shared" si="16"/>
        <v>Zusammenstellung</v>
      </c>
      <c r="C325" s="132" t="s">
        <v>379</v>
      </c>
      <c r="D325" s="131" t="s">
        <v>380</v>
      </c>
      <c r="E325" s="132" t="s">
        <v>381</v>
      </c>
      <c r="F325" s="131" t="str">
        <f>C325</f>
        <v>Zusammenstellung</v>
      </c>
      <c r="G325" s="131" t="str">
        <f t="shared" si="13"/>
        <v>L325</v>
      </c>
    </row>
    <row r="326" spans="1:8" x14ac:dyDescent="0.2">
      <c r="A326" s="129">
        <v>306</v>
      </c>
      <c r="B326" s="131" t="str">
        <f t="shared" si="16"/>
        <v>.</v>
      </c>
      <c r="C326" s="56" t="s">
        <v>296</v>
      </c>
      <c r="F326" s="131"/>
      <c r="G326" s="131" t="str">
        <f t="shared" si="13"/>
        <v>L326</v>
      </c>
    </row>
    <row r="327" spans="1:8" x14ac:dyDescent="0.2">
      <c r="A327" s="129">
        <v>307</v>
      </c>
      <c r="B327" s="131" t="str">
        <f t="shared" si="16"/>
        <v>.</v>
      </c>
      <c r="C327" s="56" t="s">
        <v>296</v>
      </c>
      <c r="F327" s="131"/>
      <c r="G327" s="131" t="str">
        <f t="shared" si="13"/>
        <v>L327</v>
      </c>
    </row>
    <row r="328" spans="1:8" x14ac:dyDescent="0.2">
      <c r="A328" s="129">
        <v>308</v>
      </c>
      <c r="B328" s="131" t="str">
        <f t="shared" si="16"/>
        <v>Anstellung %</v>
      </c>
      <c r="C328" s="56" t="s">
        <v>327</v>
      </c>
      <c r="E328" s="124" t="s">
        <v>632</v>
      </c>
      <c r="F328" s="131"/>
      <c r="G328" s="131" t="str">
        <f t="shared" si="13"/>
        <v>L328</v>
      </c>
    </row>
    <row r="329" spans="1:8" x14ac:dyDescent="0.2">
      <c r="A329" s="129">
        <v>309</v>
      </c>
      <c r="B329" s="131" t="str">
        <f t="shared" si="16"/>
        <v>.</v>
      </c>
      <c r="C329" s="56" t="s">
        <v>296</v>
      </c>
      <c r="G329" s="131" t="str">
        <f t="shared" si="13"/>
        <v>L329</v>
      </c>
      <c r="H329" s="141"/>
    </row>
    <row r="330" spans="1:8" x14ac:dyDescent="0.2">
      <c r="A330" s="129">
        <v>310</v>
      </c>
      <c r="B330" s="131" t="str">
        <f t="shared" si="16"/>
        <v>.</v>
      </c>
      <c r="C330" s="56" t="s">
        <v>296</v>
      </c>
      <c r="G330" s="131" t="str">
        <f t="shared" si="13"/>
        <v>L330</v>
      </c>
      <c r="H330" s="141"/>
    </row>
    <row r="331" spans="1:8" x14ac:dyDescent="0.2">
      <c r="A331" s="129">
        <v>311</v>
      </c>
      <c r="B331" s="131" t="str">
        <f t="shared" si="16"/>
        <v>Sollstunden gemäss GAV</v>
      </c>
      <c r="C331" s="132" t="s">
        <v>382</v>
      </c>
      <c r="D331" s="131" t="s">
        <v>383</v>
      </c>
      <c r="E331" s="132" t="s">
        <v>384</v>
      </c>
      <c r="F331" s="131" t="s">
        <v>385</v>
      </c>
      <c r="G331" s="131" t="str">
        <f t="shared" si="13"/>
        <v>L331</v>
      </c>
      <c r="H331" s="141"/>
    </row>
    <row r="332" spans="1:8" x14ac:dyDescent="0.2">
      <c r="A332" s="129">
        <v>312</v>
      </c>
      <c r="B332" s="131" t="str">
        <f t="shared" si="16"/>
        <v>.</v>
      </c>
      <c r="C332" s="56" t="s">
        <v>296</v>
      </c>
      <c r="G332" s="131" t="str">
        <f t="shared" si="13"/>
        <v>L332</v>
      </c>
      <c r="H332" s="141"/>
    </row>
    <row r="333" spans="1:8" x14ac:dyDescent="0.2">
      <c r="A333" s="129">
        <v>313</v>
      </c>
      <c r="B333" s="131" t="str">
        <f t="shared" si="16"/>
        <v>Produktive Stunden</v>
      </c>
      <c r="C333" s="132" t="s">
        <v>386</v>
      </c>
      <c r="D333" s="131" t="s">
        <v>387</v>
      </c>
      <c r="E333" s="132" t="s">
        <v>388</v>
      </c>
      <c r="F333" s="131" t="s">
        <v>389</v>
      </c>
      <c r="G333" s="131" t="str">
        <f t="shared" si="13"/>
        <v>L333</v>
      </c>
      <c r="H333" s="141"/>
    </row>
    <row r="334" spans="1:8" x14ac:dyDescent="0.2">
      <c r="A334" s="129">
        <v>314</v>
      </c>
      <c r="B334" s="131" t="str">
        <f t="shared" si="16"/>
        <v>Tagarbeit 06.00 - 20.00 Uhr</v>
      </c>
      <c r="C334" s="132" t="s">
        <v>607</v>
      </c>
      <c r="D334" s="131" t="s">
        <v>609</v>
      </c>
      <c r="E334" s="131" t="s">
        <v>746</v>
      </c>
      <c r="F334" s="131" t="s">
        <v>610</v>
      </c>
      <c r="G334" s="131" t="str">
        <f t="shared" si="13"/>
        <v>L334</v>
      </c>
      <c r="H334" s="141"/>
    </row>
    <row r="335" spans="1:8" x14ac:dyDescent="0.2">
      <c r="A335" s="129">
        <v>315</v>
      </c>
      <c r="B335" s="131" t="str">
        <f t="shared" si="16"/>
        <v>.</v>
      </c>
      <c r="C335" s="56" t="s">
        <v>296</v>
      </c>
      <c r="G335" s="131" t="str">
        <f t="shared" si="13"/>
        <v>L335</v>
      </c>
      <c r="H335" s="141"/>
    </row>
    <row r="336" spans="1:8" x14ac:dyDescent="0.2">
      <c r="A336" s="129">
        <v>316</v>
      </c>
      <c r="B336" s="131" t="str">
        <f t="shared" si="16"/>
        <v>Nachtarbeit 20.00 - 06.00 Uhr</v>
      </c>
      <c r="C336" s="132" t="s">
        <v>606</v>
      </c>
      <c r="D336" s="131" t="s">
        <v>608</v>
      </c>
      <c r="E336" s="132" t="s">
        <v>747</v>
      </c>
      <c r="F336" s="131" t="s">
        <v>611</v>
      </c>
      <c r="G336" s="131" t="str">
        <f t="shared" si="13"/>
        <v>L336</v>
      </c>
      <c r="H336" s="141"/>
    </row>
    <row r="337" spans="1:8" x14ac:dyDescent="0.2">
      <c r="A337" s="129">
        <v>317</v>
      </c>
      <c r="B337" s="131" t="str">
        <f t="shared" si="16"/>
        <v>.</v>
      </c>
      <c r="C337" s="56" t="s">
        <v>296</v>
      </c>
      <c r="G337" s="131" t="str">
        <f t="shared" si="13"/>
        <v>L337</v>
      </c>
      <c r="H337" s="141"/>
    </row>
    <row r="338" spans="1:8" x14ac:dyDescent="0.2">
      <c r="A338" s="129">
        <v>318</v>
      </c>
      <c r="B338" s="131" t="str">
        <f t="shared" si="16"/>
        <v>Zeitzuschläge</v>
      </c>
      <c r="C338" s="132" t="s">
        <v>391</v>
      </c>
      <c r="D338" s="132" t="s">
        <v>392</v>
      </c>
      <c r="E338" s="132" t="s">
        <v>393</v>
      </c>
      <c r="F338" s="131" t="s">
        <v>394</v>
      </c>
      <c r="G338" s="131" t="str">
        <f t="shared" si="13"/>
        <v>L338</v>
      </c>
      <c r="H338" s="141"/>
    </row>
    <row r="339" spans="1:8" x14ac:dyDescent="0.2">
      <c r="A339" s="129">
        <v>319</v>
      </c>
      <c r="B339" s="131" t="str">
        <f t="shared" si="16"/>
        <v>aus Überschreitung Höchstarbeitszeit</v>
      </c>
      <c r="C339" s="132" t="s">
        <v>395</v>
      </c>
      <c r="D339" s="132" t="s">
        <v>396</v>
      </c>
      <c r="E339" s="132" t="s">
        <v>397</v>
      </c>
      <c r="F339" s="132" t="s">
        <v>398</v>
      </c>
      <c r="G339" s="131" t="str">
        <f t="shared" si="13"/>
        <v>L339</v>
      </c>
      <c r="H339" s="141"/>
    </row>
    <row r="340" spans="1:8" x14ac:dyDescent="0.2">
      <c r="A340" s="129">
        <v>320</v>
      </c>
      <c r="B340" s="131" t="str">
        <f t="shared" si="16"/>
        <v>.</v>
      </c>
      <c r="C340" s="56" t="s">
        <v>296</v>
      </c>
      <c r="G340" s="131" t="str">
        <f t="shared" si="13"/>
        <v>L340</v>
      </c>
      <c r="H340" s="141"/>
    </row>
    <row r="341" spans="1:8" x14ac:dyDescent="0.2">
      <c r="A341" s="129">
        <v>321</v>
      </c>
      <c r="B341" s="131" t="str">
        <f t="shared" si="16"/>
        <v>aus Nacht-, Sonn-, Feiertagsarbeiten</v>
      </c>
      <c r="C341" s="132" t="s">
        <v>399</v>
      </c>
      <c r="D341" s="132" t="s">
        <v>400</v>
      </c>
      <c r="E341" s="132" t="s">
        <v>390</v>
      </c>
      <c r="F341" s="131" t="s">
        <v>401</v>
      </c>
      <c r="G341" s="131" t="str">
        <f t="shared" si="13"/>
        <v>L341</v>
      </c>
      <c r="H341" s="141"/>
    </row>
    <row r="342" spans="1:8" x14ac:dyDescent="0.2">
      <c r="A342" s="129">
        <v>322</v>
      </c>
      <c r="B342" s="131">
        <f t="shared" si="16"/>
        <v>0</v>
      </c>
      <c r="G342" s="131" t="str">
        <f t="shared" si="13"/>
        <v>L342</v>
      </c>
      <c r="H342" s="141"/>
    </row>
    <row r="343" spans="1:8" x14ac:dyDescent="0.2">
      <c r="A343" s="129">
        <v>323</v>
      </c>
      <c r="B343" s="131" t="str">
        <f t="shared" si="16"/>
        <v>Unproduktive Stunden</v>
      </c>
      <c r="C343" s="132" t="s">
        <v>362</v>
      </c>
      <c r="D343" s="131" t="s">
        <v>402</v>
      </c>
      <c r="E343" s="132" t="s">
        <v>403</v>
      </c>
      <c r="F343" s="131" t="s">
        <v>404</v>
      </c>
      <c r="G343" s="131" t="str">
        <f t="shared" si="13"/>
        <v>L343</v>
      </c>
    </row>
    <row r="344" spans="1:8" x14ac:dyDescent="0.2">
      <c r="A344" s="129">
        <v>324</v>
      </c>
      <c r="B344" s="131">
        <f t="shared" si="16"/>
        <v>0</v>
      </c>
      <c r="G344" s="131" t="str">
        <f t="shared" si="13"/>
        <v>L344</v>
      </c>
    </row>
    <row r="345" spans="1:8" x14ac:dyDescent="0.2">
      <c r="A345" s="129">
        <v>325</v>
      </c>
      <c r="B345" s="131" t="str">
        <f t="shared" si="16"/>
        <v>Feiertage Art. 12.2 GAV</v>
      </c>
      <c r="C345" s="132" t="s">
        <v>413</v>
      </c>
      <c r="D345" s="132" t="s">
        <v>414</v>
      </c>
      <c r="E345" s="132" t="s">
        <v>415</v>
      </c>
      <c r="F345" s="132" t="s">
        <v>416</v>
      </c>
      <c r="G345" s="131" t="str">
        <f t="shared" ref="G345:G408" si="17">"L"&amp;ROW()</f>
        <v>L345</v>
      </c>
      <c r="H345" s="132"/>
    </row>
    <row r="346" spans="1:8" x14ac:dyDescent="0.2">
      <c r="A346" s="129">
        <v>326</v>
      </c>
      <c r="B346" s="131" t="str">
        <f t="shared" si="16"/>
        <v>zu viele ft !</v>
      </c>
      <c r="C346" s="132" t="s">
        <v>417</v>
      </c>
      <c r="D346" s="132" t="s">
        <v>418</v>
      </c>
      <c r="E346" s="132" t="s">
        <v>419</v>
      </c>
      <c r="F346" s="132" t="s">
        <v>420</v>
      </c>
      <c r="G346" s="131" t="str">
        <f t="shared" si="17"/>
        <v>L346</v>
      </c>
    </row>
    <row r="347" spans="1:8" x14ac:dyDescent="0.2">
      <c r="A347" s="129">
        <v>327</v>
      </c>
      <c r="B347" s="131" t="str">
        <f t="shared" si="16"/>
        <v>.</v>
      </c>
      <c r="C347" s="56" t="s">
        <v>296</v>
      </c>
      <c r="G347" s="131" t="str">
        <f t="shared" si="17"/>
        <v>L347</v>
      </c>
      <c r="H347" s="132"/>
    </row>
    <row r="348" spans="1:8" x14ac:dyDescent="0.2">
      <c r="A348" s="129">
        <v>328</v>
      </c>
      <c r="B348" s="131" t="str">
        <f t="shared" si="16"/>
        <v>ft</v>
      </c>
      <c r="C348" s="132" t="s">
        <v>185</v>
      </c>
      <c r="D348" s="131"/>
      <c r="E348" s="132" t="s">
        <v>441</v>
      </c>
      <c r="F348" s="131" t="s">
        <v>442</v>
      </c>
      <c r="G348" s="131" t="str">
        <f t="shared" si="17"/>
        <v>L348</v>
      </c>
    </row>
    <row r="349" spans="1:8" x14ac:dyDescent="0.2">
      <c r="A349" s="129">
        <v>329</v>
      </c>
      <c r="B349" s="131" t="str">
        <f t="shared" si="16"/>
        <v>Ferien Art. 12.1 GAV</v>
      </c>
      <c r="C349" s="132" t="s">
        <v>409</v>
      </c>
      <c r="D349" s="132" t="s">
        <v>410</v>
      </c>
      <c r="E349" s="132" t="s">
        <v>411</v>
      </c>
      <c r="F349" s="132" t="s">
        <v>412</v>
      </c>
      <c r="G349" s="131" t="str">
        <f t="shared" si="17"/>
        <v>L349</v>
      </c>
    </row>
    <row r="350" spans="1:8" x14ac:dyDescent="0.2">
      <c r="A350" s="129">
        <v>330</v>
      </c>
      <c r="B350" s="131" t="str">
        <f t="shared" si="16"/>
        <v>.</v>
      </c>
      <c r="C350" s="56" t="s">
        <v>296</v>
      </c>
      <c r="G350" s="131" t="str">
        <f t="shared" si="17"/>
        <v>L350</v>
      </c>
      <c r="H350" s="132"/>
    </row>
    <row r="351" spans="1:8" x14ac:dyDescent="0.2">
      <c r="A351" s="129">
        <v>331</v>
      </c>
      <c r="B351" s="131" t="str">
        <f t="shared" si="16"/>
        <v>f</v>
      </c>
      <c r="C351" s="132" t="s">
        <v>186</v>
      </c>
      <c r="D351" s="131"/>
      <c r="E351" s="132" t="s">
        <v>430</v>
      </c>
      <c r="F351" s="131" t="s">
        <v>430</v>
      </c>
      <c r="G351" s="131" t="str">
        <f t="shared" si="17"/>
        <v>L351</v>
      </c>
    </row>
    <row r="352" spans="1:8" x14ac:dyDescent="0.2">
      <c r="A352" s="129">
        <v>332</v>
      </c>
      <c r="B352" s="131" t="str">
        <f t="shared" si="16"/>
        <v>Ferien Guthabenkorrektur</v>
      </c>
      <c r="C352" s="56" t="s">
        <v>593</v>
      </c>
      <c r="E352" s="124" t="s">
        <v>748</v>
      </c>
      <c r="G352" s="131" t="str">
        <f t="shared" si="17"/>
        <v>L352</v>
      </c>
      <c r="H352" s="132"/>
    </row>
    <row r="353" spans="1:8" x14ac:dyDescent="0.2">
      <c r="A353" s="129">
        <v>333</v>
      </c>
      <c r="B353" s="131" t="str">
        <f t="shared" ref="B353:B384" si="18">HLOOKUP($B$13,$C$21:$G$820,A353,FALSE)</f>
        <v>.</v>
      </c>
      <c r="C353" s="56" t="s">
        <v>296</v>
      </c>
      <c r="G353" s="131" t="str">
        <f t="shared" si="17"/>
        <v>L353</v>
      </c>
    </row>
    <row r="354" spans="1:8" x14ac:dyDescent="0.2">
      <c r="A354" s="129">
        <v>334</v>
      </c>
      <c r="B354" s="131" t="str">
        <f t="shared" si="18"/>
        <v>Absenzen, Kurzabsenzen Art. 11 GAV</v>
      </c>
      <c r="C354" s="132" t="s">
        <v>405</v>
      </c>
      <c r="D354" s="132" t="s">
        <v>406</v>
      </c>
      <c r="E354" s="132" t="s">
        <v>407</v>
      </c>
      <c r="F354" s="132" t="s">
        <v>408</v>
      </c>
      <c r="G354" s="131" t="str">
        <f t="shared" si="17"/>
        <v>L354</v>
      </c>
    </row>
    <row r="355" spans="1:8" x14ac:dyDescent="0.2">
      <c r="A355" s="129">
        <v>335</v>
      </c>
      <c r="B355" s="131" t="str">
        <f t="shared" si="18"/>
        <v>.</v>
      </c>
      <c r="C355" s="56" t="s">
        <v>296</v>
      </c>
      <c r="G355" s="131" t="str">
        <f t="shared" si="17"/>
        <v>L355</v>
      </c>
    </row>
    <row r="356" spans="1:8" x14ac:dyDescent="0.2">
      <c r="A356" s="129">
        <v>336</v>
      </c>
      <c r="B356" s="131" t="str">
        <f t="shared" si="18"/>
        <v>a</v>
      </c>
      <c r="C356" s="132" t="s">
        <v>189</v>
      </c>
      <c r="D356" s="131"/>
      <c r="E356" s="132" t="s">
        <v>425</v>
      </c>
      <c r="F356" s="131" t="s">
        <v>232</v>
      </c>
      <c r="G356" s="131" t="str">
        <f t="shared" si="17"/>
        <v>L356</v>
      </c>
    </row>
    <row r="357" spans="1:8" x14ac:dyDescent="0.2">
      <c r="A357" s="129">
        <v>337</v>
      </c>
      <c r="B357" s="131" t="str">
        <f t="shared" si="18"/>
        <v>Krankheit Art. 13 GAV</v>
      </c>
      <c r="C357" s="132" t="s">
        <v>421</v>
      </c>
      <c r="D357" s="132" t="s">
        <v>422</v>
      </c>
      <c r="E357" s="132" t="s">
        <v>423</v>
      </c>
      <c r="F357" s="132" t="s">
        <v>424</v>
      </c>
      <c r="G357" s="131" t="str">
        <f t="shared" si="17"/>
        <v>L357</v>
      </c>
    </row>
    <row r="358" spans="1:8" x14ac:dyDescent="0.2">
      <c r="A358" s="129">
        <v>338</v>
      </c>
      <c r="B358" s="131" t="str">
        <f t="shared" si="18"/>
        <v>.</v>
      </c>
      <c r="C358" s="56" t="s">
        <v>296</v>
      </c>
      <c r="G358" s="131" t="str">
        <f t="shared" si="17"/>
        <v>L358</v>
      </c>
    </row>
    <row r="359" spans="1:8" x14ac:dyDescent="0.2">
      <c r="A359" s="129">
        <v>339</v>
      </c>
      <c r="B359" s="131" t="str">
        <f t="shared" si="18"/>
        <v>k</v>
      </c>
      <c r="C359" s="132" t="s">
        <v>192</v>
      </c>
      <c r="D359" s="131"/>
      <c r="E359" s="132" t="s">
        <v>447</v>
      </c>
      <c r="F359" s="131" t="s">
        <v>447</v>
      </c>
      <c r="G359" s="131" t="str">
        <f t="shared" si="17"/>
        <v>L359</v>
      </c>
    </row>
    <row r="360" spans="1:8" x14ac:dyDescent="0.2">
      <c r="A360" s="129">
        <v>340</v>
      </c>
      <c r="B360" s="131" t="str">
        <f t="shared" si="18"/>
        <v>davon Karenz</v>
      </c>
      <c r="C360" s="56" t="s">
        <v>223</v>
      </c>
      <c r="D360" s="131"/>
      <c r="E360" s="132" t="s">
        <v>766</v>
      </c>
      <c r="F360" s="131"/>
      <c r="G360" s="131" t="str">
        <f t="shared" si="17"/>
        <v>L360</v>
      </c>
    </row>
    <row r="361" spans="1:8" x14ac:dyDescent="0.2">
      <c r="A361" s="129">
        <v>341</v>
      </c>
      <c r="B361" s="131" t="str">
        <f t="shared" si="18"/>
        <v>.</v>
      </c>
      <c r="C361" s="56" t="s">
        <v>296</v>
      </c>
      <c r="G361" s="131" t="str">
        <f t="shared" si="17"/>
        <v>L361</v>
      </c>
    </row>
    <row r="362" spans="1:8" x14ac:dyDescent="0.2">
      <c r="A362" s="129">
        <v>342</v>
      </c>
      <c r="B362" s="131" t="str">
        <f t="shared" si="18"/>
        <v>.</v>
      </c>
      <c r="C362" s="56" t="s">
        <v>296</v>
      </c>
      <c r="G362" s="131" t="str">
        <f t="shared" si="17"/>
        <v>L362</v>
      </c>
    </row>
    <row r="363" spans="1:8" x14ac:dyDescent="0.2">
      <c r="A363" s="129">
        <v>343</v>
      </c>
      <c r="B363" s="131" t="str">
        <f t="shared" si="18"/>
        <v>Unfall Art. 14 GAV</v>
      </c>
      <c r="C363" s="132" t="s">
        <v>426</v>
      </c>
      <c r="D363" s="132" t="s">
        <v>427</v>
      </c>
      <c r="E363" s="132" t="s">
        <v>428</v>
      </c>
      <c r="F363" s="132" t="s">
        <v>429</v>
      </c>
      <c r="G363" s="131" t="str">
        <f t="shared" si="17"/>
        <v>L363</v>
      </c>
    </row>
    <row r="364" spans="1:8" x14ac:dyDescent="0.2">
      <c r="A364" s="129">
        <v>344</v>
      </c>
      <c r="B364" s="131" t="str">
        <f t="shared" si="18"/>
        <v>.</v>
      </c>
      <c r="C364" s="56" t="s">
        <v>296</v>
      </c>
      <c r="G364" s="131" t="str">
        <f t="shared" si="17"/>
        <v>L364</v>
      </c>
    </row>
    <row r="365" spans="1:8" x14ac:dyDescent="0.2">
      <c r="A365" s="129">
        <v>345</v>
      </c>
      <c r="B365" s="131" t="str">
        <f t="shared" si="18"/>
        <v>u</v>
      </c>
      <c r="C365" s="132" t="s">
        <v>195</v>
      </c>
      <c r="D365" s="131"/>
      <c r="E365" s="132" t="s">
        <v>451</v>
      </c>
      <c r="F365" s="131" t="s">
        <v>452</v>
      </c>
      <c r="G365" s="131" t="str">
        <f t="shared" si="17"/>
        <v>L365</v>
      </c>
    </row>
    <row r="366" spans="1:8" x14ac:dyDescent="0.2">
      <c r="A366" s="129">
        <v>346</v>
      </c>
      <c r="B366" s="131" t="str">
        <f t="shared" si="18"/>
        <v>Schwanger-/Mutter-/Vaterschaft Art. 15 GAV</v>
      </c>
      <c r="C366" s="132" t="s">
        <v>431</v>
      </c>
      <c r="D366" s="132" t="s">
        <v>432</v>
      </c>
      <c r="E366" s="132" t="s">
        <v>433</v>
      </c>
      <c r="F366" s="132" t="s">
        <v>434</v>
      </c>
      <c r="G366" s="131" t="str">
        <f t="shared" si="17"/>
        <v>L366</v>
      </c>
    </row>
    <row r="367" spans="1:8" x14ac:dyDescent="0.2">
      <c r="A367" s="129">
        <v>347</v>
      </c>
      <c r="B367" s="131" t="str">
        <f t="shared" si="18"/>
        <v>.</v>
      </c>
      <c r="C367" s="56" t="s">
        <v>296</v>
      </c>
      <c r="G367" s="131" t="str">
        <f t="shared" si="17"/>
        <v>L367</v>
      </c>
      <c r="H367" s="132"/>
    </row>
    <row r="368" spans="1:8" x14ac:dyDescent="0.2">
      <c r="A368" s="129">
        <v>348</v>
      </c>
      <c r="B368" s="131" t="str">
        <f t="shared" si="18"/>
        <v>e</v>
      </c>
      <c r="C368" s="132" t="s">
        <v>198</v>
      </c>
      <c r="D368" s="131"/>
      <c r="E368" s="132" t="s">
        <v>457</v>
      </c>
      <c r="F368" s="131" t="s">
        <v>457</v>
      </c>
      <c r="G368" s="131" t="str">
        <f t="shared" si="17"/>
        <v>L368</v>
      </c>
      <c r="H368" s="132"/>
    </row>
    <row r="369" spans="1:11" ht="25.5" x14ac:dyDescent="0.2">
      <c r="A369" s="129">
        <v>349</v>
      </c>
      <c r="B369" s="131" t="str">
        <f t="shared" si="18"/>
        <v>Militär/Beförderung/Zivilschutz Art. 16 GAV</v>
      </c>
      <c r="C369" s="132" t="s">
        <v>435</v>
      </c>
      <c r="D369" s="132" t="s">
        <v>436</v>
      </c>
      <c r="E369" s="132" t="s">
        <v>437</v>
      </c>
      <c r="F369" s="132" t="s">
        <v>438</v>
      </c>
      <c r="G369" s="131" t="str">
        <f t="shared" si="17"/>
        <v>L369</v>
      </c>
      <c r="H369" s="132"/>
    </row>
    <row r="370" spans="1:11" x14ac:dyDescent="0.2">
      <c r="A370" s="129">
        <v>350</v>
      </c>
      <c r="B370" s="131" t="str">
        <f t="shared" si="18"/>
        <v>.</v>
      </c>
      <c r="C370" s="56" t="s">
        <v>296</v>
      </c>
      <c r="G370" s="131" t="str">
        <f t="shared" si="17"/>
        <v>L370</v>
      </c>
      <c r="H370" s="132"/>
    </row>
    <row r="371" spans="1:11" x14ac:dyDescent="0.2">
      <c r="A371" s="129">
        <v>351</v>
      </c>
      <c r="B371" s="131" t="str">
        <f t="shared" si="18"/>
        <v>m</v>
      </c>
      <c r="C371" s="132" t="s">
        <v>201</v>
      </c>
      <c r="D371" s="131"/>
      <c r="E371" s="132" t="s">
        <v>463</v>
      </c>
      <c r="F371" s="131" t="s">
        <v>463</v>
      </c>
      <c r="G371" s="131" t="str">
        <f t="shared" si="17"/>
        <v>L371</v>
      </c>
      <c r="H371" s="132"/>
    </row>
    <row r="372" spans="1:11" ht="25.5" x14ac:dyDescent="0.2">
      <c r="A372" s="129">
        <v>352</v>
      </c>
      <c r="B372" s="131" t="str">
        <f t="shared" si="18"/>
        <v>Kurzarbeit und Schlechtwetterausfälle</v>
      </c>
      <c r="C372" s="132" t="s">
        <v>439</v>
      </c>
      <c r="D372" s="132" t="s">
        <v>440</v>
      </c>
      <c r="E372" s="132" t="s">
        <v>770</v>
      </c>
      <c r="F372" s="131" t="str">
        <f>C372</f>
        <v>Kurzarbeit und Schlechtwetterausfälle</v>
      </c>
      <c r="G372" s="131" t="str">
        <f t="shared" si="17"/>
        <v>L372</v>
      </c>
    </row>
    <row r="373" spans="1:11" x14ac:dyDescent="0.2">
      <c r="A373" s="129">
        <v>353</v>
      </c>
      <c r="B373" s="131" t="str">
        <f t="shared" si="18"/>
        <v>.</v>
      </c>
      <c r="C373" s="56" t="s">
        <v>296</v>
      </c>
      <c r="E373" s="56" t="s">
        <v>296</v>
      </c>
      <c r="F373" s="131"/>
      <c r="G373" s="131" t="str">
        <f t="shared" si="17"/>
        <v>L373</v>
      </c>
    </row>
    <row r="374" spans="1:11" x14ac:dyDescent="0.2">
      <c r="A374" s="129">
        <v>354</v>
      </c>
      <c r="B374" s="131" t="str">
        <f t="shared" si="18"/>
        <v>ka</v>
      </c>
      <c r="C374" s="132" t="s">
        <v>208</v>
      </c>
      <c r="D374" s="131" t="str">
        <f>C374</f>
        <v>ka</v>
      </c>
      <c r="E374" s="132" t="s">
        <v>465</v>
      </c>
      <c r="F374" s="131" t="str">
        <f>C374</f>
        <v>ka</v>
      </c>
      <c r="G374" s="131" t="str">
        <f t="shared" si="17"/>
        <v>L374</v>
      </c>
    </row>
    <row r="375" spans="1:11" x14ac:dyDescent="0.2">
      <c r="A375" s="129">
        <v>355</v>
      </c>
      <c r="B375" s="131" t="str">
        <f t="shared" si="18"/>
        <v>betrieblich festgelegte Ausfälle</v>
      </c>
      <c r="C375" s="56" t="s">
        <v>605</v>
      </c>
      <c r="E375" s="56" t="s">
        <v>771</v>
      </c>
      <c r="G375" s="131" t="str">
        <f t="shared" si="17"/>
        <v>L375</v>
      </c>
    </row>
    <row r="376" spans="1:11" x14ac:dyDescent="0.2">
      <c r="A376" s="129">
        <v>356</v>
      </c>
      <c r="B376" s="131" t="str">
        <f t="shared" si="18"/>
        <v>.</v>
      </c>
      <c r="C376" s="56" t="s">
        <v>296</v>
      </c>
      <c r="E376" s="56" t="s">
        <v>296</v>
      </c>
      <c r="G376" s="131" t="str">
        <f t="shared" si="17"/>
        <v>L376</v>
      </c>
    </row>
    <row r="377" spans="1:11" x14ac:dyDescent="0.2">
      <c r="A377" s="129">
        <v>357</v>
      </c>
      <c r="B377" s="131" t="str">
        <f t="shared" si="18"/>
        <v>ba</v>
      </c>
      <c r="C377" s="56" t="s">
        <v>602</v>
      </c>
      <c r="E377" s="56" t="s">
        <v>767</v>
      </c>
      <c r="G377" s="131" t="str">
        <f t="shared" si="17"/>
        <v>L377</v>
      </c>
    </row>
    <row r="378" spans="1:11" x14ac:dyDescent="0.2">
      <c r="A378" s="129">
        <v>358</v>
      </c>
      <c r="B378" s="131" t="str">
        <f t="shared" si="18"/>
        <v>.</v>
      </c>
      <c r="C378" s="56" t="s">
        <v>296</v>
      </c>
      <c r="G378" s="131" t="str">
        <f t="shared" si="17"/>
        <v>L378</v>
      </c>
    </row>
    <row r="379" spans="1:11" x14ac:dyDescent="0.2">
      <c r="A379" s="129">
        <v>359</v>
      </c>
      <c r="B379" s="131" t="str">
        <f t="shared" si="18"/>
        <v>Berufsschule</v>
      </c>
      <c r="C379" s="132" t="s">
        <v>203</v>
      </c>
      <c r="D379" s="132" t="s">
        <v>443</v>
      </c>
      <c r="E379" s="132" t="s">
        <v>444</v>
      </c>
      <c r="F379" s="131" t="str">
        <f>C379</f>
        <v>Berufsschule</v>
      </c>
      <c r="G379" s="131" t="str">
        <f t="shared" si="17"/>
        <v>L379</v>
      </c>
    </row>
    <row r="380" spans="1:11" x14ac:dyDescent="0.2">
      <c r="A380" s="129">
        <v>360</v>
      </c>
      <c r="B380" s="131" t="str">
        <f t="shared" si="18"/>
        <v>.</v>
      </c>
      <c r="C380" s="56" t="s">
        <v>296</v>
      </c>
      <c r="G380" s="131" t="str">
        <f t="shared" si="17"/>
        <v>L380</v>
      </c>
    </row>
    <row r="381" spans="1:11" x14ac:dyDescent="0.2">
      <c r="A381" s="129">
        <v>361</v>
      </c>
      <c r="B381" s="131" t="str">
        <f t="shared" si="18"/>
        <v>bs</v>
      </c>
      <c r="C381" s="132" t="s">
        <v>204</v>
      </c>
      <c r="D381" s="131" t="str">
        <f>C381</f>
        <v>bs</v>
      </c>
      <c r="E381" s="132" t="s">
        <v>467</v>
      </c>
      <c r="F381" s="131" t="str">
        <f>C381</f>
        <v>bs</v>
      </c>
      <c r="G381" s="131" t="str">
        <f t="shared" si="17"/>
        <v>L381</v>
      </c>
      <c r="H381" s="132"/>
      <c r="I381" s="131"/>
      <c r="J381" s="132"/>
      <c r="K381" s="131"/>
    </row>
    <row r="382" spans="1:11" x14ac:dyDescent="0.2">
      <c r="A382" s="129">
        <v>362</v>
      </c>
      <c r="B382" s="131" t="str">
        <f t="shared" si="18"/>
        <v>Kurse</v>
      </c>
      <c r="C382" s="132" t="s">
        <v>205</v>
      </c>
      <c r="D382" s="132" t="s">
        <v>445</v>
      </c>
      <c r="E382" s="132" t="s">
        <v>446</v>
      </c>
      <c r="F382" s="131" t="str">
        <f>C382</f>
        <v>Kurse</v>
      </c>
      <c r="G382" s="131" t="str">
        <f t="shared" si="17"/>
        <v>L382</v>
      </c>
    </row>
    <row r="383" spans="1:11" x14ac:dyDescent="0.2">
      <c r="A383" s="129">
        <v>363</v>
      </c>
      <c r="B383" s="131" t="str">
        <f t="shared" si="18"/>
        <v>.</v>
      </c>
      <c r="C383" s="56" t="s">
        <v>296</v>
      </c>
      <c r="G383" s="131" t="str">
        <f t="shared" si="17"/>
        <v>L383</v>
      </c>
    </row>
    <row r="384" spans="1:11" x14ac:dyDescent="0.2">
      <c r="A384" s="129">
        <v>364</v>
      </c>
      <c r="B384" s="131" t="str">
        <f t="shared" si="18"/>
        <v>ku</v>
      </c>
      <c r="C384" s="132" t="s">
        <v>206</v>
      </c>
      <c r="D384" s="131" t="str">
        <f>C384</f>
        <v>ku</v>
      </c>
      <c r="E384" s="132" t="s">
        <v>470</v>
      </c>
      <c r="F384" s="131" t="str">
        <f>C384</f>
        <v>ku</v>
      </c>
      <c r="G384" s="131" t="str">
        <f t="shared" si="17"/>
        <v>L384</v>
      </c>
    </row>
    <row r="385" spans="1:11" x14ac:dyDescent="0.2">
      <c r="A385" s="129">
        <v>365</v>
      </c>
      <c r="B385" s="131" t="str">
        <f t="shared" ref="B385:B416" si="19">HLOOKUP($B$13,$C$21:$G$820,A385,FALSE)</f>
        <v>.</v>
      </c>
      <c r="C385" s="56" t="s">
        <v>296</v>
      </c>
      <c r="G385" s="131" t="str">
        <f t="shared" si="17"/>
        <v>L385</v>
      </c>
    </row>
    <row r="386" spans="1:11" x14ac:dyDescent="0.2">
      <c r="A386" s="129">
        <v>366</v>
      </c>
      <c r="B386" s="131" t="str">
        <f t="shared" si="19"/>
        <v>.</v>
      </c>
      <c r="C386" s="56" t="s">
        <v>296</v>
      </c>
      <c r="G386" s="131" t="str">
        <f t="shared" si="17"/>
        <v>L386</v>
      </c>
    </row>
    <row r="387" spans="1:11" x14ac:dyDescent="0.2">
      <c r="A387" s="129">
        <v>367</v>
      </c>
      <c r="B387" s="131" t="str">
        <f t="shared" si="19"/>
        <v>Saldo Vorjahr</v>
      </c>
      <c r="C387" s="56" t="s">
        <v>448</v>
      </c>
      <c r="D387" s="131" t="s">
        <v>478</v>
      </c>
      <c r="E387" s="132" t="s">
        <v>749</v>
      </c>
      <c r="F387" s="131" t="e">
        <f>#REF!</f>
        <v>#REF!</v>
      </c>
      <c r="G387" s="131" t="str">
        <f t="shared" si="17"/>
        <v>L387</v>
      </c>
    </row>
    <row r="388" spans="1:11" x14ac:dyDescent="0.2">
      <c r="A388" s="129">
        <v>368</v>
      </c>
      <c r="B388" s="131" t="str">
        <f t="shared" si="19"/>
        <v>.</v>
      </c>
      <c r="C388" s="56" t="s">
        <v>296</v>
      </c>
      <c r="G388" s="131" t="str">
        <f t="shared" si="17"/>
        <v>L388</v>
      </c>
    </row>
    <row r="389" spans="1:11" x14ac:dyDescent="0.2">
      <c r="A389" s="129">
        <v>369</v>
      </c>
      <c r="B389" s="131" t="str">
        <f t="shared" si="19"/>
        <v>Kompensation Vorjahr</v>
      </c>
      <c r="C389" s="56" t="s">
        <v>363</v>
      </c>
      <c r="D389" s="131" t="s">
        <v>449</v>
      </c>
      <c r="E389" s="132" t="s">
        <v>450</v>
      </c>
      <c r="F389" s="131"/>
      <c r="G389" s="131" t="str">
        <f t="shared" si="17"/>
        <v>L389</v>
      </c>
    </row>
    <row r="390" spans="1:11" x14ac:dyDescent="0.2">
      <c r="A390" s="129">
        <v>370</v>
      </c>
      <c r="B390" s="131" t="str">
        <f t="shared" si="19"/>
        <v>kv</v>
      </c>
      <c r="C390" s="132" t="s">
        <v>472</v>
      </c>
      <c r="D390" s="131"/>
      <c r="E390" s="132" t="s">
        <v>473</v>
      </c>
      <c r="F390" s="131"/>
      <c r="G390" s="131" t="str">
        <f t="shared" si="17"/>
        <v>L390</v>
      </c>
    </row>
    <row r="391" spans="1:11" x14ac:dyDescent="0.2">
      <c r="A391" s="129">
        <v>371</v>
      </c>
      <c r="B391" s="131" t="str">
        <f t="shared" si="19"/>
        <v>.</v>
      </c>
      <c r="C391" s="56" t="s">
        <v>296</v>
      </c>
      <c r="G391" s="131" t="str">
        <f t="shared" si="17"/>
        <v>L391</v>
      </c>
    </row>
    <row r="392" spans="1:11" x14ac:dyDescent="0.2">
      <c r="A392" s="129">
        <v>372</v>
      </c>
      <c r="B392" s="131" t="str">
        <f t="shared" si="19"/>
        <v>Auszahlung Vorjahr</v>
      </c>
      <c r="C392" s="56" t="s">
        <v>453</v>
      </c>
      <c r="D392" s="131" t="s">
        <v>476</v>
      </c>
      <c r="E392" s="132" t="s">
        <v>477</v>
      </c>
      <c r="F392" s="131">
        <f>H370</f>
        <v>0</v>
      </c>
      <c r="G392" s="131" t="str">
        <f t="shared" si="17"/>
        <v>L392</v>
      </c>
    </row>
    <row r="393" spans="1:11" x14ac:dyDescent="0.2">
      <c r="A393" s="129">
        <v>373</v>
      </c>
      <c r="B393" s="131" t="str">
        <f t="shared" si="19"/>
        <v>.</v>
      </c>
      <c r="C393" s="56" t="s">
        <v>296</v>
      </c>
      <c r="G393" s="131" t="str">
        <f t="shared" si="17"/>
        <v>L393</v>
      </c>
    </row>
    <row r="394" spans="1:11" x14ac:dyDescent="0.2">
      <c r="A394" s="129">
        <v>374</v>
      </c>
      <c r="B394" s="131" t="str">
        <f t="shared" si="19"/>
        <v>.</v>
      </c>
      <c r="C394" s="56" t="s">
        <v>296</v>
      </c>
      <c r="G394" s="131" t="str">
        <f t="shared" si="17"/>
        <v>L394</v>
      </c>
    </row>
    <row r="395" spans="1:11" x14ac:dyDescent="0.2">
      <c r="A395" s="129">
        <v>375</v>
      </c>
      <c r="B395" s="131" t="str">
        <f t="shared" si="19"/>
        <v>Differenz</v>
      </c>
      <c r="C395" s="132" t="s">
        <v>454</v>
      </c>
      <c r="D395" s="131" t="s">
        <v>455</v>
      </c>
      <c r="E395" s="132" t="s">
        <v>456</v>
      </c>
      <c r="F395" s="131" t="str">
        <f>C395</f>
        <v>Differenz</v>
      </c>
      <c r="G395" s="131" t="str">
        <f t="shared" si="17"/>
        <v>L395</v>
      </c>
      <c r="H395" s="132"/>
      <c r="I395" s="131"/>
      <c r="J395" s="132"/>
      <c r="K395" s="131"/>
    </row>
    <row r="396" spans="1:11" x14ac:dyDescent="0.2">
      <c r="A396" s="129">
        <v>376</v>
      </c>
      <c r="B396" s="131" t="str">
        <f t="shared" si="19"/>
        <v>nach Kompensation und Auszahlung</v>
      </c>
      <c r="C396" s="132" t="s">
        <v>458</v>
      </c>
      <c r="D396" s="131" t="s">
        <v>459</v>
      </c>
      <c r="E396" s="132" t="s">
        <v>460</v>
      </c>
      <c r="F396" s="131" t="str">
        <f>C396</f>
        <v>nach Kompensation und Auszahlung</v>
      </c>
      <c r="G396" s="131" t="str">
        <f t="shared" si="17"/>
        <v>L396</v>
      </c>
      <c r="H396" s="141"/>
    </row>
    <row r="397" spans="1:11" x14ac:dyDescent="0.2">
      <c r="A397" s="129">
        <v>377</v>
      </c>
      <c r="B397" s="131" t="str">
        <f t="shared" si="19"/>
        <v>.</v>
      </c>
      <c r="C397" s="56" t="s">
        <v>296</v>
      </c>
      <c r="G397" s="131" t="str">
        <f t="shared" si="17"/>
        <v>L397</v>
      </c>
      <c r="H397" s="141"/>
    </row>
    <row r="398" spans="1:11" x14ac:dyDescent="0.2">
      <c r="A398" s="129">
        <v>378</v>
      </c>
      <c r="B398" s="131" t="str">
        <f t="shared" si="19"/>
        <v>.</v>
      </c>
      <c r="C398" s="56" t="s">
        <v>296</v>
      </c>
      <c r="G398" s="131" t="str">
        <f t="shared" si="17"/>
        <v>L398</v>
      </c>
      <c r="H398" s="141"/>
    </row>
    <row r="399" spans="1:11" x14ac:dyDescent="0.2">
      <c r="A399" s="129">
        <v>379</v>
      </c>
      <c r="B399" s="131" t="str">
        <f t="shared" si="19"/>
        <v>Saldokontrolle laufendes Jahr</v>
      </c>
      <c r="C399" s="56" t="s">
        <v>587</v>
      </c>
      <c r="D399" s="131" t="s">
        <v>461</v>
      </c>
      <c r="E399" s="132" t="s">
        <v>462</v>
      </c>
      <c r="F399" s="131">
        <f>H368</f>
        <v>0</v>
      </c>
      <c r="G399" s="131" t="str">
        <f t="shared" si="17"/>
        <v>L399</v>
      </c>
      <c r="H399" s="141"/>
    </row>
    <row r="400" spans="1:11" x14ac:dyDescent="0.2">
      <c r="A400" s="129">
        <v>380</v>
      </c>
      <c r="B400" s="131" t="str">
        <f t="shared" si="19"/>
        <v>Kompensation laufend</v>
      </c>
      <c r="C400" s="56" t="s">
        <v>213</v>
      </c>
      <c r="E400" s="131"/>
      <c r="F400" s="131"/>
      <c r="G400" s="131" t="str">
        <f t="shared" si="17"/>
        <v>L400</v>
      </c>
    </row>
    <row r="401" spans="1:11" x14ac:dyDescent="0.2">
      <c r="A401" s="129">
        <v>381</v>
      </c>
      <c r="B401" s="131" t="str">
        <f t="shared" si="19"/>
        <v>kj</v>
      </c>
      <c r="C401" s="132" t="s">
        <v>474</v>
      </c>
      <c r="D401" s="131"/>
      <c r="E401" s="132" t="s">
        <v>475</v>
      </c>
      <c r="F401" s="131"/>
      <c r="G401" s="131" t="str">
        <f t="shared" si="17"/>
        <v>L401</v>
      </c>
    </row>
    <row r="402" spans="1:11" x14ac:dyDescent="0.2">
      <c r="A402" s="129">
        <v>382</v>
      </c>
      <c r="B402" s="131" t="str">
        <f t="shared" si="19"/>
        <v>.</v>
      </c>
      <c r="C402" s="56" t="s">
        <v>296</v>
      </c>
      <c r="G402" s="131" t="str">
        <f t="shared" si="17"/>
        <v>L402</v>
      </c>
      <c r="H402" s="132"/>
      <c r="I402" s="131"/>
      <c r="J402" s="131"/>
      <c r="K402" s="131"/>
    </row>
    <row r="403" spans="1:11" x14ac:dyDescent="0.2">
      <c r="A403" s="129">
        <v>383</v>
      </c>
      <c r="B403" s="131" t="str">
        <f t="shared" si="19"/>
        <v>Auszahlung Überstunden</v>
      </c>
      <c r="C403" s="56" t="s">
        <v>464</v>
      </c>
      <c r="D403" s="131" t="s">
        <v>476</v>
      </c>
      <c r="E403" s="132" t="s">
        <v>477</v>
      </c>
      <c r="F403" s="132" t="s">
        <v>464</v>
      </c>
      <c r="G403" s="131" t="str">
        <f t="shared" si="17"/>
        <v>L403</v>
      </c>
    </row>
    <row r="404" spans="1:11" x14ac:dyDescent="0.2">
      <c r="A404" s="129">
        <v>384</v>
      </c>
      <c r="B404" s="131" t="str">
        <f t="shared" si="19"/>
        <v>.</v>
      </c>
      <c r="C404" s="56" t="s">
        <v>296</v>
      </c>
      <c r="G404" s="131" t="str">
        <f t="shared" si="17"/>
        <v>L404</v>
      </c>
    </row>
    <row r="405" spans="1:11" x14ac:dyDescent="0.2">
      <c r="A405" s="129">
        <v>385</v>
      </c>
      <c r="B405" s="131" t="str">
        <f t="shared" si="19"/>
        <v>Unbezahlte Absenzen</v>
      </c>
      <c r="C405" s="56" t="s">
        <v>531</v>
      </c>
      <c r="G405" s="131" t="str">
        <f t="shared" si="17"/>
        <v>L405</v>
      </c>
    </row>
    <row r="406" spans="1:11" x14ac:dyDescent="0.2">
      <c r="A406" s="129">
        <v>386</v>
      </c>
      <c r="B406" s="131" t="str">
        <f t="shared" si="19"/>
        <v>Ferien unbezahlt</v>
      </c>
      <c r="C406" s="56" t="s">
        <v>225</v>
      </c>
      <c r="G406" s="131" t="str">
        <f t="shared" si="17"/>
        <v>L406</v>
      </c>
    </row>
    <row r="407" spans="1:11" x14ac:dyDescent="0.2">
      <c r="A407" s="129">
        <v>387</v>
      </c>
      <c r="B407" s="131" t="str">
        <f t="shared" si="19"/>
        <v>fu</v>
      </c>
      <c r="C407" s="132" t="s">
        <v>226</v>
      </c>
      <c r="D407" s="131"/>
      <c r="E407" s="131"/>
      <c r="F407" s="131"/>
      <c r="G407" s="131" t="str">
        <f t="shared" si="17"/>
        <v>L407</v>
      </c>
    </row>
    <row r="408" spans="1:11" x14ac:dyDescent="0.2">
      <c r="A408" s="129">
        <v>388</v>
      </c>
      <c r="B408" s="131" t="str">
        <f t="shared" si="19"/>
        <v>.</v>
      </c>
      <c r="C408" s="56" t="s">
        <v>296</v>
      </c>
      <c r="G408" s="131" t="str">
        <f t="shared" si="17"/>
        <v>L408</v>
      </c>
    </row>
    <row r="409" spans="1:11" x14ac:dyDescent="0.2">
      <c r="A409" s="129">
        <v>389</v>
      </c>
      <c r="B409" s="131" t="str">
        <f t="shared" si="19"/>
        <v>Fehlstunden (Kontrolle)</v>
      </c>
      <c r="C409" s="56" t="s">
        <v>538</v>
      </c>
      <c r="G409" s="131" t="str">
        <f t="shared" ref="G409:G472" si="20">"L"&amp;ROW()</f>
        <v>L409</v>
      </c>
    </row>
    <row r="410" spans="1:11" x14ac:dyDescent="0.2">
      <c r="A410" s="129">
        <v>390</v>
      </c>
      <c r="B410" s="131" t="str">
        <f t="shared" si="19"/>
        <v>.</v>
      </c>
      <c r="C410" s="56" t="s">
        <v>296</v>
      </c>
      <c r="G410" s="131" t="str">
        <f t="shared" si="20"/>
        <v>L410</v>
      </c>
    </row>
    <row r="411" spans="1:11" x14ac:dyDescent="0.2">
      <c r="A411" s="129">
        <v>391</v>
      </c>
      <c r="B411" s="131" t="str">
        <f t="shared" si="19"/>
        <v>fe</v>
      </c>
      <c r="C411" s="132" t="s">
        <v>228</v>
      </c>
      <c r="D411" s="131"/>
      <c r="E411" s="132" t="s">
        <v>479</v>
      </c>
      <c r="F411" s="131"/>
      <c r="G411" s="131" t="str">
        <f t="shared" si="20"/>
        <v>L411</v>
      </c>
    </row>
    <row r="412" spans="1:11" x14ac:dyDescent="0.2">
      <c r="A412" s="129">
        <v>392</v>
      </c>
      <c r="B412" s="131" t="str">
        <f t="shared" si="19"/>
        <v>.</v>
      </c>
      <c r="C412" s="56" t="s">
        <v>296</v>
      </c>
      <c r="G412" s="131" t="str">
        <f t="shared" si="20"/>
        <v>L412</v>
      </c>
    </row>
    <row r="413" spans="1:11" x14ac:dyDescent="0.2">
      <c r="A413" s="129">
        <v>393</v>
      </c>
      <c r="B413" s="131" t="str">
        <f t="shared" si="19"/>
        <v>.</v>
      </c>
      <c r="C413" s="56" t="s">
        <v>296</v>
      </c>
      <c r="G413" s="131" t="str">
        <f t="shared" si="20"/>
        <v>L413</v>
      </c>
    </row>
    <row r="414" spans="1:11" x14ac:dyDescent="0.2">
      <c r="A414" s="129">
        <v>394</v>
      </c>
      <c r="B414" s="131" t="str">
        <f t="shared" si="19"/>
        <v>Total inkl. Zeitzuschläge</v>
      </c>
      <c r="C414" s="56" t="s">
        <v>466</v>
      </c>
      <c r="E414" s="124" t="s">
        <v>732</v>
      </c>
      <c r="G414" s="131" t="str">
        <f t="shared" si="20"/>
        <v>L414</v>
      </c>
    </row>
    <row r="415" spans="1:11" x14ac:dyDescent="0.2">
      <c r="A415" s="129">
        <v>395</v>
      </c>
      <c r="B415" s="131" t="str">
        <f t="shared" si="19"/>
        <v>Stunden produktiv &amp; unproduktiv</v>
      </c>
      <c r="C415" s="56" t="s">
        <v>468</v>
      </c>
      <c r="E415" s="124" t="s">
        <v>480</v>
      </c>
      <c r="G415" s="131" t="str">
        <f t="shared" si="20"/>
        <v>L415</v>
      </c>
    </row>
    <row r="416" spans="1:11" x14ac:dyDescent="0.2">
      <c r="A416" s="129">
        <v>396</v>
      </c>
      <c r="B416" s="131" t="str">
        <f t="shared" si="19"/>
        <v>.</v>
      </c>
      <c r="C416" s="56" t="s">
        <v>296</v>
      </c>
      <c r="G416" s="131" t="str">
        <f t="shared" si="20"/>
        <v>L416</v>
      </c>
    </row>
    <row r="417" spans="1:8" x14ac:dyDescent="0.2">
      <c r="A417" s="129">
        <v>397</v>
      </c>
      <c r="B417" s="131" t="str">
        <f t="shared" ref="B417:B448" si="21">HLOOKUP($B$13,$C$21:$G$820,A417,FALSE)</f>
        <v>Vergleich</v>
      </c>
      <c r="C417" s="56" t="s">
        <v>469</v>
      </c>
      <c r="E417" s="124" t="s">
        <v>731</v>
      </c>
      <c r="G417" s="131" t="str">
        <f t="shared" si="20"/>
        <v>L417</v>
      </c>
    </row>
    <row r="418" spans="1:8" ht="25.5" x14ac:dyDescent="0.2">
      <c r="A418" s="129">
        <v>398</v>
      </c>
      <c r="B418" s="131" t="str">
        <f t="shared" si="21"/>
        <v>Stunden zu Soll-Stunden
(inkl. Vorjahresstunden)</v>
      </c>
      <c r="C418" s="56" t="s">
        <v>526</v>
      </c>
      <c r="E418" s="56" t="s">
        <v>729</v>
      </c>
      <c r="G418" s="131" t="str">
        <f t="shared" si="20"/>
        <v>L418</v>
      </c>
      <c r="H418" s="141"/>
    </row>
    <row r="419" spans="1:8" x14ac:dyDescent="0.2">
      <c r="A419" s="129">
        <v>399</v>
      </c>
      <c r="B419" s="131" t="str">
        <f t="shared" si="21"/>
        <v>.</v>
      </c>
      <c r="C419" s="56" t="s">
        <v>296</v>
      </c>
      <c r="G419" s="131" t="str">
        <f t="shared" si="20"/>
        <v>L419</v>
      </c>
      <c r="H419" s="141"/>
    </row>
    <row r="420" spans="1:8" ht="25.5" x14ac:dyDescent="0.2">
      <c r="A420" s="129">
        <v>400</v>
      </c>
      <c r="B420" s="131" t="str">
        <f t="shared" si="21"/>
        <v>Stunden zu Soll-Stunden 
(kumuliert)</v>
      </c>
      <c r="C420" s="56" t="s">
        <v>471</v>
      </c>
      <c r="E420" s="124" t="s">
        <v>730</v>
      </c>
      <c r="G420" s="128" t="str">
        <f t="shared" si="20"/>
        <v>L420</v>
      </c>
      <c r="H420" s="139"/>
    </row>
    <row r="421" spans="1:8" x14ac:dyDescent="0.2">
      <c r="A421" s="129">
        <v>401</v>
      </c>
      <c r="B421" s="131" t="str">
        <f t="shared" si="21"/>
        <v>.</v>
      </c>
      <c r="C421" s="56" t="s">
        <v>296</v>
      </c>
      <c r="G421" s="131" t="str">
        <f t="shared" si="20"/>
        <v>L421</v>
      </c>
      <c r="H421" s="141"/>
    </row>
    <row r="422" spans="1:8" x14ac:dyDescent="0.2">
      <c r="A422" s="129">
        <v>402</v>
      </c>
      <c r="B422" s="131" t="str">
        <f t="shared" si="21"/>
        <v>.</v>
      </c>
      <c r="C422" s="56" t="s">
        <v>296</v>
      </c>
      <c r="G422" s="131" t="str">
        <f t="shared" si="20"/>
        <v>L422</v>
      </c>
      <c r="H422" s="141"/>
    </row>
    <row r="423" spans="1:8" x14ac:dyDescent="0.2">
      <c r="A423" s="129">
        <v>403</v>
      </c>
      <c r="B423" s="131" t="str">
        <f t="shared" si="21"/>
        <v>.</v>
      </c>
      <c r="C423" s="56" t="s">
        <v>296</v>
      </c>
      <c r="E423" s="131"/>
      <c r="F423" s="131"/>
      <c r="G423" s="131" t="str">
        <f t="shared" si="20"/>
        <v>L423</v>
      </c>
      <c r="H423" s="141"/>
    </row>
    <row r="424" spans="1:8" x14ac:dyDescent="0.2">
      <c r="A424" s="129">
        <v>404</v>
      </c>
      <c r="B424" s="131" t="str">
        <f t="shared" si="21"/>
        <v>.</v>
      </c>
      <c r="C424" s="56" t="s">
        <v>296</v>
      </c>
      <c r="D424" s="131"/>
      <c r="E424" s="131"/>
      <c r="F424" s="131"/>
      <c r="G424" s="132" t="str">
        <f t="shared" si="20"/>
        <v>L424</v>
      </c>
      <c r="H424" s="141"/>
    </row>
    <row r="425" spans="1:8" x14ac:dyDescent="0.2">
      <c r="A425" s="129">
        <v>405</v>
      </c>
      <c r="B425" s="131" t="str">
        <f t="shared" si="21"/>
        <v>Kompensation</v>
      </c>
      <c r="C425" s="56" t="s">
        <v>209</v>
      </c>
      <c r="D425" s="131"/>
      <c r="E425" s="131" t="s">
        <v>733</v>
      </c>
      <c r="F425" s="131"/>
      <c r="G425" s="132" t="str">
        <f t="shared" si="20"/>
        <v>L425</v>
      </c>
      <c r="H425" s="141"/>
    </row>
    <row r="426" spans="1:8" x14ac:dyDescent="0.2">
      <c r="A426" s="129">
        <v>406</v>
      </c>
      <c r="B426" s="131" t="str">
        <f t="shared" si="21"/>
        <v>regulärer Kompensationszeitraum</v>
      </c>
      <c r="C426" s="132" t="s">
        <v>487</v>
      </c>
      <c r="D426" s="131"/>
      <c r="E426" s="131" t="s">
        <v>737</v>
      </c>
      <c r="F426" s="131"/>
      <c r="G426" s="132" t="str">
        <f t="shared" si="20"/>
        <v>L426</v>
      </c>
      <c r="H426" s="141"/>
    </row>
    <row r="427" spans="1:8" x14ac:dyDescent="0.2">
      <c r="A427" s="129">
        <v>407</v>
      </c>
      <c r="B427" s="131" t="str">
        <f t="shared" si="21"/>
        <v>Meldung an RPBK!</v>
      </c>
      <c r="C427" s="132" t="s">
        <v>614</v>
      </c>
      <c r="D427" s="131"/>
      <c r="E427" s="131" t="s">
        <v>734</v>
      </c>
      <c r="F427" s="131"/>
      <c r="G427" s="132" t="str">
        <f t="shared" si="20"/>
        <v>L427</v>
      </c>
      <c r="H427" s="141"/>
    </row>
    <row r="428" spans="1:8" x14ac:dyDescent="0.2">
      <c r="A428" s="129">
        <v>408</v>
      </c>
      <c r="B428" s="131" t="str">
        <f t="shared" si="21"/>
        <v>Status Kompensation</v>
      </c>
      <c r="C428" s="132" t="s">
        <v>488</v>
      </c>
      <c r="E428" s="124" t="s">
        <v>735</v>
      </c>
      <c r="G428" s="132" t="str">
        <f t="shared" si="20"/>
        <v>L428</v>
      </c>
      <c r="H428" s="141"/>
    </row>
    <row r="429" spans="1:8" x14ac:dyDescent="0.2">
      <c r="A429" s="129">
        <v>409</v>
      </c>
      <c r="B429" s="131" t="str">
        <f t="shared" si="21"/>
        <v>Fehler! Überkompensation</v>
      </c>
      <c r="C429" s="132" t="s">
        <v>489</v>
      </c>
      <c r="E429" s="124" t="s">
        <v>736</v>
      </c>
      <c r="G429" s="132" t="str">
        <f t="shared" si="20"/>
        <v>L429</v>
      </c>
      <c r="H429" s="141"/>
    </row>
    <row r="430" spans="1:8" x14ac:dyDescent="0.2">
      <c r="A430" s="129">
        <v>410</v>
      </c>
      <c r="B430" s="131" t="str">
        <f t="shared" si="21"/>
        <v>.</v>
      </c>
      <c r="C430" s="56" t="s">
        <v>296</v>
      </c>
      <c r="G430" s="132" t="str">
        <f t="shared" si="20"/>
        <v>L430</v>
      </c>
      <c r="H430" s="141"/>
    </row>
    <row r="431" spans="1:8" x14ac:dyDescent="0.2">
      <c r="A431" s="129">
        <v>411</v>
      </c>
      <c r="B431" s="131" t="str">
        <f t="shared" si="21"/>
        <v>.</v>
      </c>
      <c r="C431" s="56" t="s">
        <v>296</v>
      </c>
      <c r="G431" s="132" t="str">
        <f t="shared" si="20"/>
        <v>L431</v>
      </c>
      <c r="H431" s="141"/>
    </row>
    <row r="432" spans="1:8" x14ac:dyDescent="0.2">
      <c r="A432" s="129">
        <v>412</v>
      </c>
      <c r="B432" s="131" t="str">
        <f t="shared" si="21"/>
        <v>Saldoübertrag</v>
      </c>
      <c r="C432" s="132" t="s">
        <v>525</v>
      </c>
      <c r="E432" s="124" t="s">
        <v>738</v>
      </c>
      <c r="G432" s="132" t="str">
        <f t="shared" si="20"/>
        <v>L432</v>
      </c>
      <c r="H432" s="141"/>
    </row>
    <row r="433" spans="1:8" x14ac:dyDescent="0.2">
      <c r="A433" s="129">
        <v>413</v>
      </c>
      <c r="B433" s="131" t="str">
        <f t="shared" si="21"/>
        <v>Std.</v>
      </c>
      <c r="C433" s="124" t="s">
        <v>124</v>
      </c>
      <c r="E433" s="124" t="s">
        <v>645</v>
      </c>
      <c r="G433" s="132" t="str">
        <f t="shared" si="20"/>
        <v>L433</v>
      </c>
      <c r="H433" s="141"/>
    </row>
    <row r="434" spans="1:8" x14ac:dyDescent="0.2">
      <c r="A434" s="129">
        <v>414</v>
      </c>
      <c r="B434" s="131" t="str">
        <f t="shared" si="21"/>
        <v>.</v>
      </c>
      <c r="C434" s="56" t="s">
        <v>296</v>
      </c>
      <c r="G434" s="132" t="str">
        <f t="shared" si="20"/>
        <v>L434</v>
      </c>
      <c r="H434" s="141"/>
    </row>
    <row r="435" spans="1:8" x14ac:dyDescent="0.2">
      <c r="A435" s="129">
        <v>415</v>
      </c>
      <c r="B435" s="131" t="str">
        <f t="shared" si="21"/>
        <v>.</v>
      </c>
      <c r="C435" s="56" t="s">
        <v>296</v>
      </c>
      <c r="G435" s="132" t="str">
        <f t="shared" si="20"/>
        <v>L435</v>
      </c>
      <c r="H435" s="141"/>
    </row>
    <row r="436" spans="1:8" x14ac:dyDescent="0.2">
      <c r="A436" s="129">
        <v>416</v>
      </c>
      <c r="B436" s="131" t="str">
        <f t="shared" si="21"/>
        <v>negatives Vorjahressaldo</v>
      </c>
      <c r="C436" s="124" t="s">
        <v>524</v>
      </c>
      <c r="E436" s="124" t="s">
        <v>739</v>
      </c>
      <c r="G436" s="132" t="str">
        <f t="shared" si="20"/>
        <v>L436</v>
      </c>
      <c r="H436" s="141"/>
    </row>
    <row r="437" spans="1:8" x14ac:dyDescent="0.2">
      <c r="A437" s="129">
        <v>417</v>
      </c>
      <c r="B437" s="131" t="str">
        <f t="shared" si="21"/>
        <v>.</v>
      </c>
      <c r="C437" s="56" t="s">
        <v>296</v>
      </c>
      <c r="G437" s="132" t="str">
        <f t="shared" si="20"/>
        <v>L437</v>
      </c>
      <c r="H437" s="141"/>
    </row>
    <row r="438" spans="1:8" x14ac:dyDescent="0.2">
      <c r="A438" s="129">
        <v>418</v>
      </c>
      <c r="B438" s="131" t="str">
        <f t="shared" si="21"/>
        <v xml:space="preserve">kompensiert: </v>
      </c>
      <c r="C438" s="124" t="str">
        <f>"kompensiert: "</f>
        <v xml:space="preserve">kompensiert: </v>
      </c>
      <c r="E438" s="124" t="s">
        <v>740</v>
      </c>
      <c r="G438" s="132" t="str">
        <f t="shared" si="20"/>
        <v>L438</v>
      </c>
      <c r="H438" s="141"/>
    </row>
    <row r="439" spans="1:8" x14ac:dyDescent="0.2">
      <c r="A439" s="129">
        <v>419</v>
      </c>
      <c r="B439" s="131" t="str">
        <f t="shared" si="21"/>
        <v xml:space="preserve">   ausbezahlt </v>
      </c>
      <c r="C439" s="131" t="str">
        <f>"   "&amp;"ausbezahlt "</f>
        <v xml:space="preserve">   ausbezahlt </v>
      </c>
      <c r="E439" s="124" t="str">
        <f>"   "&amp;"payé "</f>
        <v xml:space="preserve">   payé </v>
      </c>
      <c r="G439" s="132" t="str">
        <f t="shared" si="20"/>
        <v>L439</v>
      </c>
      <c r="H439" s="141"/>
    </row>
    <row r="440" spans="1:8" x14ac:dyDescent="0.2">
      <c r="A440" s="129">
        <v>420</v>
      </c>
      <c r="B440" s="131" t="str">
        <f t="shared" si="21"/>
        <v xml:space="preserve">   |   Rest: </v>
      </c>
      <c r="C440" s="131" t="str">
        <f>"   |   Rest: "</f>
        <v xml:space="preserve">   |   Rest: </v>
      </c>
      <c r="E440" s="124" t="str">
        <f>"   |   reste: "</f>
        <v xml:space="preserve">   |   reste: </v>
      </c>
      <c r="G440" s="132" t="str">
        <f t="shared" si="20"/>
        <v>L440</v>
      </c>
      <c r="H440" s="141"/>
    </row>
    <row r="441" spans="1:8" x14ac:dyDescent="0.2">
      <c r="A441" s="129">
        <v>421</v>
      </c>
      <c r="B441" s="131" t="str">
        <f t="shared" si="21"/>
        <v>.</v>
      </c>
      <c r="C441" s="56" t="s">
        <v>296</v>
      </c>
      <c r="G441" s="132" t="str">
        <f t="shared" si="20"/>
        <v>L441</v>
      </c>
      <c r="H441" s="141"/>
    </row>
    <row r="442" spans="1:8" x14ac:dyDescent="0.2">
      <c r="A442" s="129">
        <v>422</v>
      </c>
      <c r="B442" s="131" t="str">
        <f t="shared" si="21"/>
        <v>.</v>
      </c>
      <c r="C442" s="56" t="s">
        <v>296</v>
      </c>
      <c r="G442" s="132" t="str">
        <f t="shared" si="20"/>
        <v>L442</v>
      </c>
      <c r="H442" s="141"/>
    </row>
    <row r="443" spans="1:8" x14ac:dyDescent="0.2">
      <c r="A443" s="129">
        <v>423</v>
      </c>
      <c r="B443" s="131" t="str">
        <f t="shared" si="21"/>
        <v>.</v>
      </c>
      <c r="C443" s="56" t="s">
        <v>296</v>
      </c>
      <c r="G443" s="131" t="str">
        <f t="shared" si="20"/>
        <v>L443</v>
      </c>
      <c r="H443" s="141"/>
    </row>
    <row r="444" spans="1:8" x14ac:dyDescent="0.2">
      <c r="A444" s="129">
        <v>424</v>
      </c>
      <c r="B444" s="131" t="str">
        <f t="shared" si="21"/>
        <v>.</v>
      </c>
      <c r="C444" s="56" t="s">
        <v>296</v>
      </c>
      <c r="G444" s="131" t="str">
        <f t="shared" si="20"/>
        <v>L444</v>
      </c>
      <c r="H444" s="141"/>
    </row>
    <row r="445" spans="1:8" x14ac:dyDescent="0.2">
      <c r="A445" s="129">
        <v>425</v>
      </c>
      <c r="B445" s="131" t="str">
        <f t="shared" si="21"/>
        <v>.</v>
      </c>
      <c r="C445" s="56" t="s">
        <v>296</v>
      </c>
      <c r="G445" s="131" t="str">
        <f t="shared" si="20"/>
        <v>L445</v>
      </c>
      <c r="H445" s="141"/>
    </row>
    <row r="446" spans="1:8" x14ac:dyDescent="0.2">
      <c r="A446" s="129">
        <v>426</v>
      </c>
      <c r="B446" s="131" t="str">
        <f t="shared" si="21"/>
        <v>Ferienkontrolle</v>
      </c>
      <c r="C446" s="132" t="s">
        <v>481</v>
      </c>
      <c r="D446" s="131"/>
      <c r="E446" s="131" t="s">
        <v>759</v>
      </c>
      <c r="F446" s="131"/>
      <c r="G446" s="131" t="str">
        <f t="shared" si="20"/>
        <v>L446</v>
      </c>
      <c r="H446" s="141"/>
    </row>
    <row r="447" spans="1:8" x14ac:dyDescent="0.2">
      <c r="A447" s="129">
        <v>427</v>
      </c>
      <c r="B447" s="131" t="str">
        <f t="shared" si="21"/>
        <v>Ferienguthaben Vorjahr</v>
      </c>
      <c r="C447" s="132" t="s">
        <v>482</v>
      </c>
      <c r="D447" s="131"/>
      <c r="E447" s="131" t="s">
        <v>760</v>
      </c>
      <c r="F447" s="131"/>
      <c r="G447" s="131" t="str">
        <f t="shared" si="20"/>
        <v>L447</v>
      </c>
      <c r="H447" s="141"/>
    </row>
    <row r="448" spans="1:8" x14ac:dyDescent="0.2">
      <c r="A448" s="129">
        <v>428</v>
      </c>
      <c r="B448" s="131" t="str">
        <f t="shared" si="21"/>
        <v>Ferienguthaben nach GAV</v>
      </c>
      <c r="C448" s="132" t="s">
        <v>483</v>
      </c>
      <c r="D448" s="131"/>
      <c r="E448" s="131" t="s">
        <v>761</v>
      </c>
      <c r="F448" s="131"/>
      <c r="G448" s="131" t="str">
        <f t="shared" si="20"/>
        <v>L448</v>
      </c>
      <c r="H448" s="141"/>
    </row>
    <row r="449" spans="1:8" x14ac:dyDescent="0.2">
      <c r="A449" s="129">
        <v>429</v>
      </c>
      <c r="B449" s="131" t="str">
        <f t="shared" ref="B449:B480" si="22">HLOOKUP($B$13,$C$21:$G$820,A449,FALSE)</f>
        <v>Ferienguthaben total</v>
      </c>
      <c r="C449" s="132" t="s">
        <v>484</v>
      </c>
      <c r="D449" s="131"/>
      <c r="E449" s="131" t="s">
        <v>762</v>
      </c>
      <c r="F449" s="131"/>
      <c r="G449" s="131" t="str">
        <f t="shared" si="20"/>
        <v>L449</v>
      </c>
      <c r="H449" s="141"/>
    </row>
    <row r="450" spans="1:8" x14ac:dyDescent="0.2">
      <c r="A450" s="129">
        <v>430</v>
      </c>
      <c r="B450" s="131" t="str">
        <f t="shared" si="22"/>
        <v>Ferien bezogen</v>
      </c>
      <c r="C450" s="132" t="s">
        <v>485</v>
      </c>
      <c r="D450" s="131"/>
      <c r="E450" s="131" t="s">
        <v>763</v>
      </c>
      <c r="F450" s="131"/>
      <c r="G450" s="131" t="str">
        <f t="shared" si="20"/>
        <v>L450</v>
      </c>
      <c r="H450" s="141"/>
    </row>
    <row r="451" spans="1:8" x14ac:dyDescent="0.2">
      <c r="A451" s="129">
        <v>431</v>
      </c>
      <c r="B451" s="131" t="str">
        <f t="shared" si="22"/>
        <v>Ferien (Korrekturen)</v>
      </c>
      <c r="C451" s="132" t="s">
        <v>486</v>
      </c>
      <c r="D451" s="131"/>
      <c r="E451" s="131" t="s">
        <v>728</v>
      </c>
      <c r="F451" s="131"/>
      <c r="G451" s="131" t="str">
        <f t="shared" si="20"/>
        <v>L451</v>
      </c>
      <c r="H451" s="141"/>
    </row>
    <row r="452" spans="1:8" x14ac:dyDescent="0.2">
      <c r="A452" s="129">
        <v>432</v>
      </c>
      <c r="B452" s="131">
        <f t="shared" si="22"/>
        <v>0</v>
      </c>
      <c r="C452" s="131"/>
      <c r="D452" s="131"/>
      <c r="E452" s="131"/>
      <c r="F452" s="131"/>
      <c r="G452" s="131" t="str">
        <f t="shared" si="20"/>
        <v>L452</v>
      </c>
      <c r="H452" s="141"/>
    </row>
    <row r="453" spans="1:8" x14ac:dyDescent="0.2">
      <c r="A453" s="129">
        <v>433</v>
      </c>
      <c r="B453" s="131">
        <f t="shared" si="22"/>
        <v>0</v>
      </c>
      <c r="C453" s="131"/>
      <c r="D453" s="131"/>
      <c r="E453" s="131"/>
      <c r="F453" s="131"/>
      <c r="G453" s="131" t="str">
        <f t="shared" si="20"/>
        <v>L453</v>
      </c>
      <c r="H453" s="141"/>
    </row>
    <row r="454" spans="1:8" x14ac:dyDescent="0.2">
      <c r="A454" s="129">
        <v>434</v>
      </c>
      <c r="B454" s="131">
        <f t="shared" si="22"/>
        <v>0</v>
      </c>
      <c r="C454" s="131"/>
      <c r="D454" s="131"/>
      <c r="E454" s="131"/>
      <c r="F454" s="131"/>
      <c r="G454" s="131" t="str">
        <f t="shared" si="20"/>
        <v>L454</v>
      </c>
      <c r="H454" s="141"/>
    </row>
    <row r="455" spans="1:8" x14ac:dyDescent="0.2">
      <c r="A455" s="129">
        <v>435</v>
      </c>
      <c r="B455" s="131" t="str">
        <f t="shared" si="22"/>
        <v>Karenzkontrolle</v>
      </c>
      <c r="C455" s="56" t="s">
        <v>591</v>
      </c>
      <c r="D455" s="131"/>
      <c r="E455" s="131" t="s">
        <v>725</v>
      </c>
      <c r="F455" s="131"/>
      <c r="G455" s="131" t="str">
        <f t="shared" si="20"/>
        <v>L455</v>
      </c>
      <c r="H455" s="141"/>
    </row>
    <row r="456" spans="1:8" x14ac:dyDescent="0.2">
      <c r="A456" s="129">
        <v>436</v>
      </c>
      <c r="B456" s="131" t="str">
        <f t="shared" si="22"/>
        <v>Karenzstunden total</v>
      </c>
      <c r="C456" s="56" t="s">
        <v>592</v>
      </c>
      <c r="D456" s="131"/>
      <c r="E456" s="131" t="s">
        <v>726</v>
      </c>
      <c r="F456" s="131"/>
      <c r="G456" s="131" t="str">
        <f t="shared" si="20"/>
        <v>L456</v>
      </c>
      <c r="H456" s="141"/>
    </row>
    <row r="457" spans="1:8" x14ac:dyDescent="0.2">
      <c r="A457" s="129">
        <v>437</v>
      </c>
      <c r="B457" s="131" t="str">
        <f t="shared" si="22"/>
        <v>mit Stunden verrechnet</v>
      </c>
      <c r="C457" s="56" t="s">
        <v>594</v>
      </c>
      <c r="D457" s="131"/>
      <c r="E457" s="131" t="s">
        <v>724</v>
      </c>
      <c r="F457" s="131"/>
      <c r="G457" s="131" t="str">
        <f t="shared" si="20"/>
        <v>L457</v>
      </c>
      <c r="H457" s="141"/>
    </row>
    <row r="458" spans="1:8" x14ac:dyDescent="0.2">
      <c r="A458" s="129">
        <v>438</v>
      </c>
      <c r="B458" s="131" t="str">
        <f t="shared" si="22"/>
        <v>mit Lohn verrechnet</v>
      </c>
      <c r="C458" s="56" t="s">
        <v>595</v>
      </c>
      <c r="D458" s="131"/>
      <c r="E458" s="131" t="s">
        <v>723</v>
      </c>
      <c r="F458" s="131"/>
      <c r="G458" s="131" t="str">
        <f t="shared" si="20"/>
        <v>L458</v>
      </c>
      <c r="H458" s="141"/>
    </row>
    <row r="459" spans="1:8" ht="25.5" x14ac:dyDescent="0.2">
      <c r="A459" s="129">
        <v>439</v>
      </c>
      <c r="B459" s="131" t="str">
        <f t="shared" si="22"/>
        <v>Karenzstunden korrekt abrechnen!</v>
      </c>
      <c r="C459" s="56" t="s">
        <v>598</v>
      </c>
      <c r="D459" s="131"/>
      <c r="E459" s="131" t="s">
        <v>727</v>
      </c>
      <c r="F459" s="131"/>
      <c r="G459" s="131" t="str">
        <f t="shared" si="20"/>
        <v>L459</v>
      </c>
      <c r="H459" s="141"/>
    </row>
    <row r="460" spans="1:8" x14ac:dyDescent="0.2">
      <c r="A460" s="129">
        <v>440</v>
      </c>
      <c r="B460" s="131" t="str">
        <f t="shared" si="22"/>
        <v>Karenzstunden korrekt abgerechnet</v>
      </c>
      <c r="C460" s="56" t="s">
        <v>599</v>
      </c>
      <c r="D460" s="131"/>
      <c r="E460" s="131" t="s">
        <v>722</v>
      </c>
      <c r="F460" s="131"/>
      <c r="G460" s="131" t="str">
        <f t="shared" si="20"/>
        <v>L460</v>
      </c>
      <c r="H460" s="141"/>
    </row>
    <row r="461" spans="1:8" ht="25.5" x14ac:dyDescent="0.2">
      <c r="A461" s="129">
        <v>441</v>
      </c>
      <c r="B461" s="131" t="str">
        <f t="shared" si="22"/>
        <v>Keine Karenzstunden vorhanden. Verrechnungsfelder auf Null setzen.</v>
      </c>
      <c r="C461" s="124" t="s">
        <v>613</v>
      </c>
      <c r="D461" s="131"/>
      <c r="E461" s="131" t="s">
        <v>721</v>
      </c>
      <c r="F461" s="131"/>
      <c r="G461" s="131" t="str">
        <f t="shared" si="20"/>
        <v>L461</v>
      </c>
      <c r="H461" s="141"/>
    </row>
    <row r="462" spans="1:8" x14ac:dyDescent="0.2">
      <c r="A462" s="129">
        <v>442</v>
      </c>
      <c r="B462" s="131">
        <f t="shared" si="22"/>
        <v>0</v>
      </c>
      <c r="D462" s="131"/>
      <c r="E462" s="131"/>
      <c r="F462" s="131"/>
      <c r="G462" s="131" t="str">
        <f t="shared" si="20"/>
        <v>L462</v>
      </c>
      <c r="H462" s="141"/>
    </row>
    <row r="463" spans="1:8" x14ac:dyDescent="0.2">
      <c r="A463" s="129">
        <v>443</v>
      </c>
      <c r="B463" s="131">
        <f t="shared" si="22"/>
        <v>0</v>
      </c>
      <c r="D463" s="131"/>
      <c r="E463" s="131"/>
      <c r="F463" s="131"/>
      <c r="G463" s="131" t="str">
        <f t="shared" si="20"/>
        <v>L463</v>
      </c>
      <c r="H463" s="141"/>
    </row>
    <row r="464" spans="1:8" x14ac:dyDescent="0.2">
      <c r="A464" s="129">
        <v>444</v>
      </c>
      <c r="B464" s="131" t="str">
        <f t="shared" si="22"/>
        <v>Übertrag für das Jahr</v>
      </c>
      <c r="C464" s="132" t="s">
        <v>491</v>
      </c>
      <c r="D464" s="131"/>
      <c r="E464" s="131" t="s">
        <v>720</v>
      </c>
      <c r="F464" s="131"/>
      <c r="G464" s="131" t="str">
        <f t="shared" si="20"/>
        <v>L464</v>
      </c>
      <c r="H464" s="141"/>
    </row>
    <row r="465" spans="1:8" x14ac:dyDescent="0.2">
      <c r="A465" s="129">
        <v>445</v>
      </c>
      <c r="B465" s="131" t="str">
        <f t="shared" si="22"/>
        <v>Stundensaldo</v>
      </c>
      <c r="C465" s="132" t="s">
        <v>312</v>
      </c>
      <c r="D465" s="131"/>
      <c r="E465" s="131" t="s">
        <v>628</v>
      </c>
      <c r="F465" s="131"/>
      <c r="G465" s="131" t="str">
        <f t="shared" si="20"/>
        <v>L465</v>
      </c>
      <c r="H465" s="141"/>
    </row>
    <row r="466" spans="1:8" x14ac:dyDescent="0.2">
      <c r="A466" s="129">
        <v>446</v>
      </c>
      <c r="B466" s="131" t="str">
        <f t="shared" si="22"/>
        <v>Ferien Übertrag</v>
      </c>
      <c r="C466" s="132" t="s">
        <v>492</v>
      </c>
      <c r="D466" s="131"/>
      <c r="E466" s="131" t="s">
        <v>719</v>
      </c>
      <c r="F466" s="131"/>
      <c r="G466" s="131" t="str">
        <f t="shared" si="20"/>
        <v>L466</v>
      </c>
      <c r="H466" s="141"/>
    </row>
    <row r="467" spans="1:8" x14ac:dyDescent="0.2">
      <c r="A467" s="129">
        <v>447</v>
      </c>
      <c r="B467" s="131">
        <f t="shared" si="22"/>
        <v>0</v>
      </c>
      <c r="G467" s="131" t="str">
        <f t="shared" si="20"/>
        <v>L467</v>
      </c>
      <c r="H467" s="141"/>
    </row>
    <row r="468" spans="1:8" x14ac:dyDescent="0.2">
      <c r="A468" s="129">
        <v>448</v>
      </c>
      <c r="B468" s="131">
        <f t="shared" si="22"/>
        <v>0</v>
      </c>
      <c r="G468" s="131" t="str">
        <f t="shared" si="20"/>
        <v>L468</v>
      </c>
      <c r="H468" s="141"/>
    </row>
    <row r="469" spans="1:8" x14ac:dyDescent="0.2">
      <c r="A469" s="129">
        <v>449</v>
      </c>
      <c r="B469" s="131">
        <f t="shared" si="22"/>
        <v>0</v>
      </c>
      <c r="G469" s="131" t="str">
        <f t="shared" si="20"/>
        <v>L469</v>
      </c>
      <c r="H469" s="141"/>
    </row>
    <row r="470" spans="1:8" x14ac:dyDescent="0.2">
      <c r="A470" s="129">
        <v>450</v>
      </c>
      <c r="B470" s="131">
        <f t="shared" si="22"/>
        <v>0</v>
      </c>
      <c r="G470" s="131" t="str">
        <f t="shared" si="20"/>
        <v>L470</v>
      </c>
      <c r="H470" s="141"/>
    </row>
    <row r="471" spans="1:8" x14ac:dyDescent="0.2">
      <c r="A471" s="129">
        <v>451</v>
      </c>
      <c r="B471" s="131">
        <f t="shared" si="22"/>
        <v>0</v>
      </c>
      <c r="G471" s="131" t="str">
        <f t="shared" si="20"/>
        <v>L471</v>
      </c>
      <c r="H471" s="141"/>
    </row>
    <row r="472" spans="1:8" x14ac:dyDescent="0.2">
      <c r="A472" s="129">
        <v>452</v>
      </c>
      <c r="B472" s="131">
        <f t="shared" si="22"/>
        <v>0</v>
      </c>
      <c r="G472" s="131" t="str">
        <f t="shared" si="20"/>
        <v>L472</v>
      </c>
      <c r="H472" s="141"/>
    </row>
    <row r="473" spans="1:8" x14ac:dyDescent="0.2">
      <c r="A473" s="129">
        <v>453</v>
      </c>
      <c r="B473" s="131">
        <f t="shared" si="22"/>
        <v>0</v>
      </c>
      <c r="G473" s="131" t="str">
        <f t="shared" ref="G473:G536" si="23">"L"&amp;ROW()</f>
        <v>L473</v>
      </c>
      <c r="H473" s="141"/>
    </row>
    <row r="474" spans="1:8" x14ac:dyDescent="0.2">
      <c r="A474" s="129">
        <v>454</v>
      </c>
      <c r="B474" s="131">
        <f t="shared" si="22"/>
        <v>0</v>
      </c>
      <c r="G474" s="131" t="str">
        <f t="shared" si="23"/>
        <v>L474</v>
      </c>
      <c r="H474" s="141"/>
    </row>
    <row r="475" spans="1:8" ht="25.5" x14ac:dyDescent="0.2">
      <c r="A475" s="129">
        <v>455</v>
      </c>
      <c r="B475" s="131" t="str">
        <f t="shared" si="22"/>
        <v>Ich habe die Jahresabrechnung kontrolliert und auf ihre Richtigkeit geprüft</v>
      </c>
      <c r="C475" s="132" t="s">
        <v>490</v>
      </c>
      <c r="E475" s="124" t="s">
        <v>718</v>
      </c>
      <c r="G475" s="131" t="str">
        <f t="shared" si="23"/>
        <v>L475</v>
      </c>
      <c r="H475" s="141"/>
    </row>
    <row r="476" spans="1:8" x14ac:dyDescent="0.2">
      <c r="A476" s="129">
        <v>456</v>
      </c>
      <c r="B476" s="131">
        <f t="shared" si="22"/>
        <v>0</v>
      </c>
      <c r="G476" s="131" t="str">
        <f t="shared" si="23"/>
        <v>L476</v>
      </c>
      <c r="H476" s="141"/>
    </row>
    <row r="477" spans="1:8" x14ac:dyDescent="0.2">
      <c r="A477" s="129">
        <v>457</v>
      </c>
      <c r="B477" s="131">
        <f t="shared" si="22"/>
        <v>0</v>
      </c>
      <c r="G477" s="131" t="str">
        <f t="shared" si="23"/>
        <v>L477</v>
      </c>
      <c r="H477" s="141"/>
    </row>
    <row r="478" spans="1:8" x14ac:dyDescent="0.2">
      <c r="A478" s="129">
        <v>458</v>
      </c>
      <c r="B478" s="131">
        <f t="shared" si="22"/>
        <v>0</v>
      </c>
      <c r="G478" s="131" t="str">
        <f t="shared" si="23"/>
        <v>L478</v>
      </c>
      <c r="H478" s="141"/>
    </row>
    <row r="479" spans="1:8" x14ac:dyDescent="0.2">
      <c r="A479" s="129">
        <v>459</v>
      </c>
      <c r="B479" s="131">
        <f t="shared" si="22"/>
        <v>0</v>
      </c>
      <c r="G479" s="131" t="str">
        <f t="shared" si="23"/>
        <v>L479</v>
      </c>
      <c r="H479" s="141"/>
    </row>
    <row r="480" spans="1:8" x14ac:dyDescent="0.2">
      <c r="A480" s="129">
        <v>460</v>
      </c>
      <c r="B480" s="131">
        <f t="shared" si="22"/>
        <v>0</v>
      </c>
      <c r="G480" s="131" t="str">
        <f t="shared" si="23"/>
        <v>L480</v>
      </c>
      <c r="H480" s="141"/>
    </row>
    <row r="481" spans="1:8" x14ac:dyDescent="0.2">
      <c r="A481" s="129">
        <v>461</v>
      </c>
      <c r="B481" s="131">
        <f t="shared" ref="B481:B499" si="24">HLOOKUP($B$13,$C$21:$G$820,A481,FALSE)</f>
        <v>0</v>
      </c>
      <c r="G481" s="131" t="str">
        <f t="shared" si="23"/>
        <v>L481</v>
      </c>
      <c r="H481" s="141"/>
    </row>
    <row r="482" spans="1:8" x14ac:dyDescent="0.2">
      <c r="A482" s="129">
        <v>462</v>
      </c>
      <c r="B482" s="131">
        <f t="shared" si="24"/>
        <v>0</v>
      </c>
      <c r="G482" s="131" t="str">
        <f t="shared" si="23"/>
        <v>L482</v>
      </c>
      <c r="H482" s="141"/>
    </row>
    <row r="483" spans="1:8" x14ac:dyDescent="0.2">
      <c r="A483" s="129">
        <v>463</v>
      </c>
      <c r="B483" s="131">
        <f t="shared" si="24"/>
        <v>0</v>
      </c>
      <c r="G483" s="131" t="str">
        <f t="shared" si="23"/>
        <v>L483</v>
      </c>
      <c r="H483" s="141"/>
    </row>
    <row r="484" spans="1:8" x14ac:dyDescent="0.2">
      <c r="A484" s="129">
        <v>464</v>
      </c>
      <c r="B484" s="131">
        <f t="shared" si="24"/>
        <v>0</v>
      </c>
      <c r="G484" s="131" t="str">
        <f t="shared" si="23"/>
        <v>L484</v>
      </c>
      <c r="H484" s="141"/>
    </row>
    <row r="485" spans="1:8" x14ac:dyDescent="0.2">
      <c r="A485" s="129">
        <v>465</v>
      </c>
      <c r="B485" s="131">
        <f t="shared" si="24"/>
        <v>0</v>
      </c>
      <c r="G485" s="131" t="str">
        <f t="shared" si="23"/>
        <v>L485</v>
      </c>
      <c r="H485" s="141"/>
    </row>
    <row r="486" spans="1:8" x14ac:dyDescent="0.2">
      <c r="A486" s="129">
        <v>466</v>
      </c>
      <c r="B486" s="131">
        <f t="shared" si="24"/>
        <v>0</v>
      </c>
      <c r="G486" s="131" t="str">
        <f t="shared" si="23"/>
        <v>L486</v>
      </c>
      <c r="H486" s="141"/>
    </row>
    <row r="487" spans="1:8" x14ac:dyDescent="0.2">
      <c r="A487" s="129">
        <v>467</v>
      </c>
      <c r="B487" s="131">
        <f t="shared" si="24"/>
        <v>0</v>
      </c>
      <c r="G487" s="131" t="str">
        <f t="shared" si="23"/>
        <v>L487</v>
      </c>
      <c r="H487" s="141"/>
    </row>
    <row r="488" spans="1:8" x14ac:dyDescent="0.2">
      <c r="A488" s="129">
        <v>468</v>
      </c>
      <c r="B488" s="131">
        <f t="shared" si="24"/>
        <v>0</v>
      </c>
      <c r="G488" s="131" t="str">
        <f t="shared" si="23"/>
        <v>L488</v>
      </c>
      <c r="H488" s="141"/>
    </row>
    <row r="489" spans="1:8" x14ac:dyDescent="0.2">
      <c r="A489" s="129">
        <v>469</v>
      </c>
      <c r="B489" s="131">
        <f t="shared" si="24"/>
        <v>0</v>
      </c>
      <c r="G489" s="131" t="str">
        <f t="shared" si="23"/>
        <v>L489</v>
      </c>
      <c r="H489" s="141"/>
    </row>
    <row r="490" spans="1:8" x14ac:dyDescent="0.2">
      <c r="A490" s="129">
        <v>470</v>
      </c>
      <c r="B490" s="131">
        <f t="shared" si="24"/>
        <v>0</v>
      </c>
      <c r="G490" s="131" t="str">
        <f t="shared" si="23"/>
        <v>L490</v>
      </c>
      <c r="H490" s="141"/>
    </row>
    <row r="491" spans="1:8" x14ac:dyDescent="0.2">
      <c r="A491" s="129">
        <v>471</v>
      </c>
      <c r="B491" s="131">
        <f t="shared" si="24"/>
        <v>0</v>
      </c>
      <c r="G491" s="131" t="str">
        <f t="shared" si="23"/>
        <v>L491</v>
      </c>
      <c r="H491" s="141"/>
    </row>
    <row r="492" spans="1:8" x14ac:dyDescent="0.2">
      <c r="A492" s="129">
        <v>472</v>
      </c>
      <c r="B492" s="131">
        <f t="shared" si="24"/>
        <v>0</v>
      </c>
      <c r="G492" s="131" t="str">
        <f t="shared" si="23"/>
        <v>L492</v>
      </c>
      <c r="H492" s="141"/>
    </row>
    <row r="493" spans="1:8" x14ac:dyDescent="0.2">
      <c r="A493" s="129">
        <v>473</v>
      </c>
      <c r="B493" s="131">
        <f t="shared" si="24"/>
        <v>0</v>
      </c>
      <c r="G493" s="131" t="str">
        <f t="shared" si="23"/>
        <v>L493</v>
      </c>
      <c r="H493" s="141"/>
    </row>
    <row r="494" spans="1:8" x14ac:dyDescent="0.2">
      <c r="A494" s="129">
        <v>474</v>
      </c>
      <c r="B494" s="131">
        <f t="shared" si="24"/>
        <v>0</v>
      </c>
      <c r="G494" s="131" t="str">
        <f t="shared" si="23"/>
        <v>L494</v>
      </c>
      <c r="H494" s="141"/>
    </row>
    <row r="495" spans="1:8" x14ac:dyDescent="0.2">
      <c r="A495" s="129">
        <v>475</v>
      </c>
      <c r="B495" s="131">
        <f t="shared" si="24"/>
        <v>0</v>
      </c>
      <c r="G495" s="131" t="str">
        <f t="shared" si="23"/>
        <v>L495</v>
      </c>
      <c r="H495" s="141"/>
    </row>
    <row r="496" spans="1:8" x14ac:dyDescent="0.2">
      <c r="A496" s="129">
        <v>476</v>
      </c>
      <c r="B496" s="131">
        <f t="shared" si="24"/>
        <v>0</v>
      </c>
      <c r="G496" s="131" t="str">
        <f t="shared" si="23"/>
        <v>L496</v>
      </c>
      <c r="H496" s="141"/>
    </row>
    <row r="497" spans="1:8" x14ac:dyDescent="0.2">
      <c r="A497" s="129">
        <v>477</v>
      </c>
      <c r="B497" s="131">
        <f t="shared" si="24"/>
        <v>0</v>
      </c>
      <c r="G497" s="131" t="str">
        <f t="shared" si="23"/>
        <v>L497</v>
      </c>
      <c r="H497" s="141"/>
    </row>
    <row r="498" spans="1:8" x14ac:dyDescent="0.2">
      <c r="A498" s="129">
        <v>478</v>
      </c>
      <c r="B498" s="131">
        <f t="shared" si="24"/>
        <v>0</v>
      </c>
      <c r="G498" s="131" t="str">
        <f t="shared" si="23"/>
        <v>L498</v>
      </c>
      <c r="H498" s="141"/>
    </row>
    <row r="499" spans="1:8" x14ac:dyDescent="0.2">
      <c r="A499" s="129">
        <v>479</v>
      </c>
      <c r="B499" s="131">
        <f t="shared" si="24"/>
        <v>0</v>
      </c>
      <c r="G499" s="131" t="str">
        <f t="shared" si="23"/>
        <v>L499</v>
      </c>
      <c r="H499" s="141"/>
    </row>
    <row r="500" spans="1:8" x14ac:dyDescent="0.2">
      <c r="A500" s="129">
        <v>480</v>
      </c>
      <c r="B500" s="133" t="s">
        <v>493</v>
      </c>
      <c r="C500" s="130"/>
      <c r="D500" s="130"/>
      <c r="E500" s="130"/>
      <c r="F500" s="130"/>
      <c r="G500" s="130" t="str">
        <f t="shared" si="23"/>
        <v>L500</v>
      </c>
      <c r="H500" s="140"/>
    </row>
    <row r="501" spans="1:8" x14ac:dyDescent="0.2">
      <c r="A501" s="129">
        <v>481</v>
      </c>
      <c r="B501" s="131">
        <f t="shared" ref="B501:B564" si="25">HLOOKUP($B$13,$C$21:$G$820,A501,FALSE)</f>
        <v>0</v>
      </c>
      <c r="G501" s="131" t="str">
        <f t="shared" si="23"/>
        <v>L501</v>
      </c>
      <c r="H501" s="141"/>
    </row>
    <row r="502" spans="1:8" x14ac:dyDescent="0.2">
      <c r="A502" s="129">
        <v>482</v>
      </c>
      <c r="B502" s="131">
        <f t="shared" si="25"/>
        <v>0</v>
      </c>
      <c r="G502" s="131" t="str">
        <f t="shared" si="23"/>
        <v>L502</v>
      </c>
      <c r="H502" s="141"/>
    </row>
    <row r="503" spans="1:8" x14ac:dyDescent="0.2">
      <c r="A503" s="129">
        <v>483</v>
      </c>
      <c r="B503" s="131">
        <f t="shared" si="25"/>
        <v>0</v>
      </c>
      <c r="G503" s="131" t="str">
        <f t="shared" si="23"/>
        <v>L503</v>
      </c>
      <c r="H503" s="141"/>
    </row>
    <row r="504" spans="1:8" x14ac:dyDescent="0.2">
      <c r="A504" s="129">
        <v>484</v>
      </c>
      <c r="B504" s="131">
        <f t="shared" si="25"/>
        <v>0</v>
      </c>
      <c r="G504" s="131" t="str">
        <f t="shared" si="23"/>
        <v>L504</v>
      </c>
      <c r="H504" s="141"/>
    </row>
    <row r="505" spans="1:8" x14ac:dyDescent="0.2">
      <c r="A505" s="129">
        <v>485</v>
      </c>
      <c r="B505" s="131">
        <f t="shared" si="25"/>
        <v>0</v>
      </c>
      <c r="G505" s="131" t="str">
        <f t="shared" si="23"/>
        <v>L505</v>
      </c>
      <c r="H505" s="141"/>
    </row>
    <row r="506" spans="1:8" x14ac:dyDescent="0.2">
      <c r="A506" s="129">
        <v>486</v>
      </c>
      <c r="B506" s="131">
        <f t="shared" si="25"/>
        <v>0</v>
      </c>
      <c r="G506" s="131" t="str">
        <f t="shared" si="23"/>
        <v>L506</v>
      </c>
      <c r="H506" s="141"/>
    </row>
    <row r="507" spans="1:8" x14ac:dyDescent="0.2">
      <c r="A507" s="129">
        <v>487</v>
      </c>
      <c r="B507" s="131">
        <f t="shared" si="25"/>
        <v>0</v>
      </c>
      <c r="G507" s="131" t="str">
        <f t="shared" si="23"/>
        <v>L507</v>
      </c>
      <c r="H507" s="141"/>
    </row>
    <row r="508" spans="1:8" x14ac:dyDescent="0.2">
      <c r="A508" s="129">
        <v>488</v>
      </c>
      <c r="B508" s="131">
        <f t="shared" si="25"/>
        <v>0</v>
      </c>
      <c r="G508" s="131" t="str">
        <f t="shared" si="23"/>
        <v>L508</v>
      </c>
      <c r="H508" s="141"/>
    </row>
    <row r="509" spans="1:8" x14ac:dyDescent="0.2">
      <c r="A509" s="129">
        <v>489</v>
      </c>
      <c r="B509" s="131">
        <f t="shared" si="25"/>
        <v>0</v>
      </c>
      <c r="G509" s="131" t="str">
        <f t="shared" si="23"/>
        <v>L509</v>
      </c>
      <c r="H509" s="141"/>
    </row>
    <row r="510" spans="1:8" x14ac:dyDescent="0.2">
      <c r="A510" s="129">
        <v>490</v>
      </c>
      <c r="B510" s="131">
        <f t="shared" si="25"/>
        <v>0</v>
      </c>
      <c r="G510" s="131" t="str">
        <f t="shared" si="23"/>
        <v>L510</v>
      </c>
      <c r="H510" s="141"/>
    </row>
    <row r="511" spans="1:8" x14ac:dyDescent="0.2">
      <c r="A511" s="129">
        <v>491</v>
      </c>
      <c r="B511" s="131">
        <f t="shared" si="25"/>
        <v>0</v>
      </c>
      <c r="G511" s="131" t="str">
        <f t="shared" si="23"/>
        <v>L511</v>
      </c>
      <c r="H511" s="141"/>
    </row>
    <row r="512" spans="1:8" x14ac:dyDescent="0.2">
      <c r="A512" s="129">
        <v>492</v>
      </c>
      <c r="B512" s="131">
        <f t="shared" si="25"/>
        <v>0</v>
      </c>
      <c r="G512" s="132" t="str">
        <f t="shared" si="23"/>
        <v>L512</v>
      </c>
      <c r="H512" s="141"/>
    </row>
    <row r="513" spans="1:8" x14ac:dyDescent="0.2">
      <c r="A513" s="129">
        <v>493</v>
      </c>
      <c r="B513" s="131">
        <f t="shared" si="25"/>
        <v>0</v>
      </c>
      <c r="G513" s="131" t="str">
        <f t="shared" si="23"/>
        <v>L513</v>
      </c>
      <c r="H513" s="141"/>
    </row>
    <row r="514" spans="1:8" x14ac:dyDescent="0.2">
      <c r="A514" s="129">
        <v>494</v>
      </c>
      <c r="B514" s="131">
        <f t="shared" si="25"/>
        <v>0</v>
      </c>
      <c r="G514" s="131" t="str">
        <f t="shared" si="23"/>
        <v>L514</v>
      </c>
      <c r="H514" s="141"/>
    </row>
    <row r="515" spans="1:8" x14ac:dyDescent="0.2">
      <c r="A515" s="129">
        <v>495</v>
      </c>
      <c r="B515" s="131">
        <f t="shared" si="25"/>
        <v>0</v>
      </c>
      <c r="G515" s="131" t="str">
        <f t="shared" si="23"/>
        <v>L515</v>
      </c>
      <c r="H515" s="141"/>
    </row>
    <row r="516" spans="1:8" x14ac:dyDescent="0.2">
      <c r="A516" s="129">
        <v>496</v>
      </c>
      <c r="B516" s="131">
        <f t="shared" si="25"/>
        <v>0</v>
      </c>
      <c r="G516" s="131" t="str">
        <f t="shared" si="23"/>
        <v>L516</v>
      </c>
      <c r="H516" s="141"/>
    </row>
    <row r="517" spans="1:8" x14ac:dyDescent="0.2">
      <c r="A517" s="129">
        <v>497</v>
      </c>
      <c r="B517" s="131">
        <f t="shared" si="25"/>
        <v>0</v>
      </c>
      <c r="G517" s="131" t="str">
        <f t="shared" si="23"/>
        <v>L517</v>
      </c>
      <c r="H517" s="141"/>
    </row>
    <row r="518" spans="1:8" x14ac:dyDescent="0.2">
      <c r="A518" s="129">
        <v>498</v>
      </c>
      <c r="B518" s="131">
        <f t="shared" si="25"/>
        <v>0</v>
      </c>
      <c r="G518" s="131" t="str">
        <f t="shared" si="23"/>
        <v>L518</v>
      </c>
      <c r="H518" s="141"/>
    </row>
    <row r="519" spans="1:8" x14ac:dyDescent="0.2">
      <c r="A519" s="129">
        <v>499</v>
      </c>
      <c r="B519" s="131">
        <f t="shared" si="25"/>
        <v>0</v>
      </c>
      <c r="G519" s="131" t="str">
        <f t="shared" si="23"/>
        <v>L519</v>
      </c>
      <c r="H519" s="141"/>
    </row>
    <row r="520" spans="1:8" x14ac:dyDescent="0.2">
      <c r="A520" s="129">
        <v>500</v>
      </c>
      <c r="B520" s="131">
        <f t="shared" si="25"/>
        <v>0</v>
      </c>
      <c r="C520" s="56"/>
      <c r="G520" s="131" t="str">
        <f t="shared" si="23"/>
        <v>L520</v>
      </c>
      <c r="H520" s="141"/>
    </row>
    <row r="521" spans="1:8" x14ac:dyDescent="0.2">
      <c r="A521" s="129">
        <v>501</v>
      </c>
      <c r="B521" s="131">
        <f t="shared" si="25"/>
        <v>0</v>
      </c>
      <c r="G521" s="131" t="str">
        <f t="shared" si="23"/>
        <v>L521</v>
      </c>
      <c r="H521" s="141"/>
    </row>
    <row r="522" spans="1:8" x14ac:dyDescent="0.2">
      <c r="A522" s="129">
        <v>502</v>
      </c>
      <c r="B522" s="131">
        <f t="shared" si="25"/>
        <v>0</v>
      </c>
      <c r="G522" s="131" t="str">
        <f t="shared" si="23"/>
        <v>L522</v>
      </c>
      <c r="H522" s="141"/>
    </row>
    <row r="523" spans="1:8" x14ac:dyDescent="0.2">
      <c r="A523" s="129">
        <v>503</v>
      </c>
      <c r="B523" s="124">
        <f t="shared" si="25"/>
        <v>0</v>
      </c>
      <c r="C523" s="56"/>
      <c r="G523" s="131" t="str">
        <f t="shared" si="23"/>
        <v>L523</v>
      </c>
    </row>
    <row r="524" spans="1:8" x14ac:dyDescent="0.2">
      <c r="A524" s="129">
        <v>504</v>
      </c>
      <c r="B524" s="124">
        <f t="shared" si="25"/>
        <v>0</v>
      </c>
      <c r="G524" s="131" t="str">
        <f t="shared" si="23"/>
        <v>L524</v>
      </c>
    </row>
    <row r="525" spans="1:8" x14ac:dyDescent="0.2">
      <c r="A525" s="129">
        <v>505</v>
      </c>
      <c r="B525" s="124">
        <f t="shared" si="25"/>
        <v>0</v>
      </c>
      <c r="G525" s="131" t="str">
        <f t="shared" si="23"/>
        <v>L525</v>
      </c>
    </row>
    <row r="526" spans="1:8" x14ac:dyDescent="0.2">
      <c r="A526" s="129">
        <v>506</v>
      </c>
      <c r="B526" s="124">
        <f t="shared" si="25"/>
        <v>0</v>
      </c>
      <c r="C526" s="56"/>
      <c r="G526" s="131" t="str">
        <f t="shared" si="23"/>
        <v>L526</v>
      </c>
    </row>
    <row r="527" spans="1:8" x14ac:dyDescent="0.2">
      <c r="A527" s="129">
        <v>507</v>
      </c>
      <c r="B527" s="124">
        <f t="shared" si="25"/>
        <v>0</v>
      </c>
      <c r="C527" s="56"/>
      <c r="G527" s="131" t="str">
        <f t="shared" si="23"/>
        <v>L527</v>
      </c>
    </row>
    <row r="528" spans="1:8" x14ac:dyDescent="0.2">
      <c r="A528" s="129">
        <v>508</v>
      </c>
      <c r="B528" s="124">
        <f t="shared" si="25"/>
        <v>0</v>
      </c>
      <c r="G528" s="131" t="str">
        <f t="shared" si="23"/>
        <v>L528</v>
      </c>
    </row>
    <row r="529" spans="1:7" x14ac:dyDescent="0.2">
      <c r="A529" s="129">
        <v>509</v>
      </c>
      <c r="B529" s="124">
        <f t="shared" si="25"/>
        <v>0</v>
      </c>
      <c r="G529" s="131" t="str">
        <f t="shared" si="23"/>
        <v>L529</v>
      </c>
    </row>
    <row r="530" spans="1:7" x14ac:dyDescent="0.2">
      <c r="A530" s="129">
        <v>510</v>
      </c>
      <c r="B530" s="124">
        <f t="shared" si="25"/>
        <v>0</v>
      </c>
      <c r="C530" s="56"/>
      <c r="G530" s="131" t="str">
        <f t="shared" si="23"/>
        <v>L530</v>
      </c>
    </row>
    <row r="531" spans="1:7" x14ac:dyDescent="0.2">
      <c r="A531" s="129">
        <v>511</v>
      </c>
      <c r="B531" s="124">
        <f t="shared" si="25"/>
        <v>0</v>
      </c>
      <c r="C531" s="56"/>
      <c r="G531" s="131" t="str">
        <f t="shared" si="23"/>
        <v>L531</v>
      </c>
    </row>
    <row r="532" spans="1:7" x14ac:dyDescent="0.2">
      <c r="A532" s="129">
        <v>512</v>
      </c>
      <c r="B532" s="124">
        <f t="shared" si="25"/>
        <v>0</v>
      </c>
      <c r="G532" s="131" t="str">
        <f t="shared" si="23"/>
        <v>L532</v>
      </c>
    </row>
    <row r="533" spans="1:7" x14ac:dyDescent="0.2">
      <c r="A533" s="129">
        <v>513</v>
      </c>
      <c r="B533" s="124">
        <f t="shared" si="25"/>
        <v>0</v>
      </c>
      <c r="G533" s="131" t="str">
        <f t="shared" si="23"/>
        <v>L533</v>
      </c>
    </row>
    <row r="534" spans="1:7" x14ac:dyDescent="0.2">
      <c r="A534" s="129">
        <v>514</v>
      </c>
      <c r="B534" s="124">
        <f t="shared" si="25"/>
        <v>0</v>
      </c>
      <c r="C534" s="56"/>
      <c r="G534" s="131" t="str">
        <f t="shared" si="23"/>
        <v>L534</v>
      </c>
    </row>
    <row r="535" spans="1:7" x14ac:dyDescent="0.2">
      <c r="A535" s="129">
        <v>515</v>
      </c>
      <c r="B535" s="124">
        <f t="shared" si="25"/>
        <v>0</v>
      </c>
      <c r="G535" s="131" t="str">
        <f t="shared" si="23"/>
        <v>L535</v>
      </c>
    </row>
    <row r="536" spans="1:7" x14ac:dyDescent="0.2">
      <c r="A536" s="129">
        <v>516</v>
      </c>
      <c r="B536" s="124">
        <f t="shared" si="25"/>
        <v>0</v>
      </c>
      <c r="C536" s="56"/>
      <c r="G536" s="131" t="str">
        <f t="shared" si="23"/>
        <v>L536</v>
      </c>
    </row>
    <row r="537" spans="1:7" x14ac:dyDescent="0.2">
      <c r="A537" s="129">
        <v>517</v>
      </c>
      <c r="B537" s="124">
        <f t="shared" si="25"/>
        <v>0</v>
      </c>
      <c r="C537" s="564"/>
      <c r="E537" s="563"/>
      <c r="G537" s="131" t="str">
        <f t="shared" ref="G537:G600" si="26">"L"&amp;ROW()</f>
        <v>L537</v>
      </c>
    </row>
    <row r="538" spans="1:7" x14ac:dyDescent="0.2">
      <c r="A538" s="129">
        <v>518</v>
      </c>
      <c r="B538" s="124">
        <f t="shared" si="25"/>
        <v>0</v>
      </c>
      <c r="G538" s="131" t="str">
        <f t="shared" si="26"/>
        <v>L538</v>
      </c>
    </row>
    <row r="539" spans="1:7" x14ac:dyDescent="0.2">
      <c r="A539" s="129">
        <v>519</v>
      </c>
      <c r="B539" s="124">
        <f t="shared" si="25"/>
        <v>0</v>
      </c>
      <c r="G539" s="131" t="str">
        <f t="shared" si="26"/>
        <v>L539</v>
      </c>
    </row>
    <row r="540" spans="1:7" x14ac:dyDescent="0.2">
      <c r="A540" s="129">
        <v>520</v>
      </c>
      <c r="B540" s="124">
        <f t="shared" si="25"/>
        <v>0</v>
      </c>
      <c r="C540" s="56"/>
      <c r="G540" s="131" t="str">
        <f t="shared" si="26"/>
        <v>L540</v>
      </c>
    </row>
    <row r="541" spans="1:7" x14ac:dyDescent="0.2">
      <c r="A541" s="129">
        <v>521</v>
      </c>
      <c r="B541" s="124">
        <f t="shared" si="25"/>
        <v>0</v>
      </c>
      <c r="G541" s="131" t="str">
        <f t="shared" si="26"/>
        <v>L541</v>
      </c>
    </row>
    <row r="542" spans="1:7" x14ac:dyDescent="0.2">
      <c r="A542" s="129">
        <v>522</v>
      </c>
      <c r="B542" s="124">
        <f t="shared" si="25"/>
        <v>0</v>
      </c>
      <c r="G542" s="131" t="str">
        <f t="shared" si="26"/>
        <v>L542</v>
      </c>
    </row>
    <row r="543" spans="1:7" x14ac:dyDescent="0.2">
      <c r="A543" s="129">
        <v>523</v>
      </c>
      <c r="B543" s="124">
        <f t="shared" si="25"/>
        <v>0</v>
      </c>
      <c r="G543" s="131" t="str">
        <f t="shared" si="26"/>
        <v>L543</v>
      </c>
    </row>
    <row r="544" spans="1:7" x14ac:dyDescent="0.2">
      <c r="A544" s="129">
        <v>524</v>
      </c>
      <c r="B544" s="124">
        <f t="shared" si="25"/>
        <v>0</v>
      </c>
      <c r="G544" s="131" t="str">
        <f t="shared" si="26"/>
        <v>L544</v>
      </c>
    </row>
    <row r="545" spans="1:7" x14ac:dyDescent="0.2">
      <c r="A545" s="129">
        <v>525</v>
      </c>
      <c r="B545" s="124">
        <f t="shared" si="25"/>
        <v>0</v>
      </c>
      <c r="G545" s="131" t="str">
        <f t="shared" si="26"/>
        <v>L545</v>
      </c>
    </row>
    <row r="546" spans="1:7" x14ac:dyDescent="0.2">
      <c r="A546" s="129">
        <v>526</v>
      </c>
      <c r="B546" s="124">
        <f t="shared" si="25"/>
        <v>0</v>
      </c>
      <c r="G546" s="131" t="str">
        <f t="shared" si="26"/>
        <v>L546</v>
      </c>
    </row>
    <row r="547" spans="1:7" x14ac:dyDescent="0.2">
      <c r="A547" s="129">
        <v>527</v>
      </c>
      <c r="B547" s="124">
        <f t="shared" si="25"/>
        <v>0</v>
      </c>
      <c r="G547" s="131" t="str">
        <f t="shared" si="26"/>
        <v>L547</v>
      </c>
    </row>
    <row r="548" spans="1:7" x14ac:dyDescent="0.2">
      <c r="A548" s="129">
        <v>528</v>
      </c>
      <c r="B548" s="124">
        <f t="shared" si="25"/>
        <v>0</v>
      </c>
      <c r="G548" s="131" t="str">
        <f t="shared" si="26"/>
        <v>L548</v>
      </c>
    </row>
    <row r="549" spans="1:7" x14ac:dyDescent="0.2">
      <c r="A549" s="129">
        <v>529</v>
      </c>
      <c r="B549" s="124">
        <f t="shared" si="25"/>
        <v>0</v>
      </c>
      <c r="G549" s="131" t="str">
        <f t="shared" si="26"/>
        <v>L549</v>
      </c>
    </row>
    <row r="550" spans="1:7" x14ac:dyDescent="0.2">
      <c r="A550" s="129">
        <v>530</v>
      </c>
      <c r="B550" s="124">
        <f t="shared" si="25"/>
        <v>0</v>
      </c>
      <c r="G550" s="131" t="str">
        <f t="shared" si="26"/>
        <v>L550</v>
      </c>
    </row>
    <row r="551" spans="1:7" x14ac:dyDescent="0.2">
      <c r="A551" s="129">
        <v>531</v>
      </c>
      <c r="B551" s="124">
        <f t="shared" si="25"/>
        <v>0</v>
      </c>
      <c r="G551" s="131" t="str">
        <f t="shared" si="26"/>
        <v>L551</v>
      </c>
    </row>
    <row r="552" spans="1:7" x14ac:dyDescent="0.2">
      <c r="A552" s="129">
        <v>532</v>
      </c>
      <c r="B552" s="124">
        <f t="shared" si="25"/>
        <v>0</v>
      </c>
      <c r="G552" s="131" t="str">
        <f t="shared" si="26"/>
        <v>L552</v>
      </c>
    </row>
    <row r="553" spans="1:7" x14ac:dyDescent="0.2">
      <c r="A553" s="129">
        <v>533</v>
      </c>
      <c r="B553" s="124">
        <f t="shared" si="25"/>
        <v>0</v>
      </c>
      <c r="G553" s="131" t="str">
        <f t="shared" si="26"/>
        <v>L553</v>
      </c>
    </row>
    <row r="554" spans="1:7" x14ac:dyDescent="0.2">
      <c r="A554" s="129">
        <v>534</v>
      </c>
      <c r="B554" s="124">
        <f t="shared" si="25"/>
        <v>0</v>
      </c>
      <c r="G554" s="131" t="str">
        <f t="shared" si="26"/>
        <v>L554</v>
      </c>
    </row>
    <row r="555" spans="1:7" x14ac:dyDescent="0.2">
      <c r="A555" s="129">
        <v>535</v>
      </c>
      <c r="B555" s="124">
        <f t="shared" si="25"/>
        <v>0</v>
      </c>
      <c r="G555" s="131" t="str">
        <f t="shared" si="26"/>
        <v>L555</v>
      </c>
    </row>
    <row r="556" spans="1:7" x14ac:dyDescent="0.2">
      <c r="A556" s="129">
        <v>536</v>
      </c>
      <c r="B556" s="124">
        <f t="shared" si="25"/>
        <v>0</v>
      </c>
      <c r="G556" s="131" t="str">
        <f t="shared" si="26"/>
        <v>L556</v>
      </c>
    </row>
    <row r="557" spans="1:7" x14ac:dyDescent="0.2">
      <c r="A557" s="129">
        <v>537</v>
      </c>
      <c r="B557" s="124">
        <f t="shared" si="25"/>
        <v>0</v>
      </c>
      <c r="G557" s="131" t="str">
        <f t="shared" si="26"/>
        <v>L557</v>
      </c>
    </row>
    <row r="558" spans="1:7" x14ac:dyDescent="0.2">
      <c r="A558" s="129">
        <v>538</v>
      </c>
      <c r="B558" s="124">
        <f t="shared" si="25"/>
        <v>0</v>
      </c>
      <c r="G558" s="131" t="str">
        <f t="shared" si="26"/>
        <v>L558</v>
      </c>
    </row>
    <row r="559" spans="1:7" x14ac:dyDescent="0.2">
      <c r="A559" s="129">
        <v>539</v>
      </c>
      <c r="B559" s="124">
        <f t="shared" si="25"/>
        <v>0</v>
      </c>
      <c r="G559" s="131" t="str">
        <f t="shared" si="26"/>
        <v>L559</v>
      </c>
    </row>
    <row r="560" spans="1:7" x14ac:dyDescent="0.2">
      <c r="A560" s="129">
        <v>540</v>
      </c>
      <c r="B560" s="124">
        <f t="shared" si="25"/>
        <v>0</v>
      </c>
      <c r="G560" s="131" t="str">
        <f t="shared" si="26"/>
        <v>L560</v>
      </c>
    </row>
    <row r="561" spans="1:7" x14ac:dyDescent="0.2">
      <c r="A561" s="129">
        <v>541</v>
      </c>
      <c r="B561" s="124">
        <f t="shared" si="25"/>
        <v>0</v>
      </c>
      <c r="G561" s="131" t="str">
        <f t="shared" si="26"/>
        <v>L561</v>
      </c>
    </row>
    <row r="562" spans="1:7" x14ac:dyDescent="0.2">
      <c r="A562" s="129">
        <v>542</v>
      </c>
      <c r="B562" s="124">
        <f t="shared" si="25"/>
        <v>0</v>
      </c>
      <c r="G562" s="131" t="str">
        <f t="shared" si="26"/>
        <v>L562</v>
      </c>
    </row>
    <row r="563" spans="1:7" x14ac:dyDescent="0.2">
      <c r="A563" s="129">
        <v>543</v>
      </c>
      <c r="B563" s="124">
        <f t="shared" si="25"/>
        <v>0</v>
      </c>
      <c r="G563" s="131" t="str">
        <f t="shared" si="26"/>
        <v>L563</v>
      </c>
    </row>
    <row r="564" spans="1:7" x14ac:dyDescent="0.2">
      <c r="A564" s="129">
        <v>544</v>
      </c>
      <c r="B564" s="124">
        <f t="shared" si="25"/>
        <v>0</v>
      </c>
      <c r="G564" s="131" t="str">
        <f t="shared" si="26"/>
        <v>L564</v>
      </c>
    </row>
    <row r="565" spans="1:7" x14ac:dyDescent="0.2">
      <c r="A565" s="129">
        <v>545</v>
      </c>
      <c r="B565" s="124">
        <f t="shared" ref="B565:B628" si="27">HLOOKUP($B$13,$C$21:$G$820,A565,FALSE)</f>
        <v>0</v>
      </c>
      <c r="G565" s="131" t="str">
        <f t="shared" si="26"/>
        <v>L565</v>
      </c>
    </row>
    <row r="566" spans="1:7" x14ac:dyDescent="0.2">
      <c r="A566" s="129">
        <v>546</v>
      </c>
      <c r="B566" s="124">
        <f t="shared" si="27"/>
        <v>0</v>
      </c>
      <c r="G566" s="131" t="str">
        <f t="shared" si="26"/>
        <v>L566</v>
      </c>
    </row>
    <row r="567" spans="1:7" x14ac:dyDescent="0.2">
      <c r="A567" s="129">
        <v>547</v>
      </c>
      <c r="B567" s="124">
        <f t="shared" si="27"/>
        <v>0</v>
      </c>
      <c r="G567" s="131" t="str">
        <f t="shared" si="26"/>
        <v>L567</v>
      </c>
    </row>
    <row r="568" spans="1:7" x14ac:dyDescent="0.2">
      <c r="A568" s="129">
        <v>548</v>
      </c>
      <c r="B568" s="124">
        <f t="shared" si="27"/>
        <v>0</v>
      </c>
      <c r="G568" s="131" t="str">
        <f t="shared" si="26"/>
        <v>L568</v>
      </c>
    </row>
    <row r="569" spans="1:7" x14ac:dyDescent="0.2">
      <c r="A569" s="129">
        <v>549</v>
      </c>
      <c r="B569" s="124">
        <f t="shared" si="27"/>
        <v>0</v>
      </c>
      <c r="G569" s="131" t="str">
        <f t="shared" si="26"/>
        <v>L569</v>
      </c>
    </row>
    <row r="570" spans="1:7" x14ac:dyDescent="0.2">
      <c r="A570" s="129">
        <v>550</v>
      </c>
      <c r="B570" s="124">
        <f t="shared" si="27"/>
        <v>0</v>
      </c>
      <c r="G570" s="131" t="str">
        <f t="shared" si="26"/>
        <v>L570</v>
      </c>
    </row>
    <row r="571" spans="1:7" x14ac:dyDescent="0.2">
      <c r="A571" s="129">
        <v>551</v>
      </c>
      <c r="B571" s="124">
        <f t="shared" si="27"/>
        <v>0</v>
      </c>
      <c r="G571" s="131" t="str">
        <f t="shared" si="26"/>
        <v>L571</v>
      </c>
    </row>
    <row r="572" spans="1:7" x14ac:dyDescent="0.2">
      <c r="A572" s="129">
        <v>552</v>
      </c>
      <c r="B572" s="124">
        <f t="shared" si="27"/>
        <v>0</v>
      </c>
      <c r="G572" s="131" t="str">
        <f t="shared" si="26"/>
        <v>L572</v>
      </c>
    </row>
    <row r="573" spans="1:7" x14ac:dyDescent="0.2">
      <c r="A573" s="129">
        <v>553</v>
      </c>
      <c r="B573" s="124">
        <f t="shared" si="27"/>
        <v>0</v>
      </c>
      <c r="G573" s="131" t="str">
        <f t="shared" si="26"/>
        <v>L573</v>
      </c>
    </row>
    <row r="574" spans="1:7" x14ac:dyDescent="0.2">
      <c r="A574" s="129">
        <v>554</v>
      </c>
      <c r="B574" s="124">
        <f t="shared" si="27"/>
        <v>0</v>
      </c>
      <c r="G574" s="131" t="str">
        <f t="shared" si="26"/>
        <v>L574</v>
      </c>
    </row>
    <row r="575" spans="1:7" x14ac:dyDescent="0.2">
      <c r="A575" s="129">
        <v>555</v>
      </c>
      <c r="B575" s="124">
        <f t="shared" si="27"/>
        <v>0</v>
      </c>
      <c r="G575" s="131" t="str">
        <f t="shared" si="26"/>
        <v>L575</v>
      </c>
    </row>
    <row r="576" spans="1:7" x14ac:dyDescent="0.2">
      <c r="A576" s="129">
        <v>556</v>
      </c>
      <c r="B576" s="124">
        <f t="shared" si="27"/>
        <v>0</v>
      </c>
      <c r="G576" s="131" t="str">
        <f t="shared" si="26"/>
        <v>L576</v>
      </c>
    </row>
    <row r="577" spans="1:7" x14ac:dyDescent="0.2">
      <c r="A577" s="129">
        <v>557</v>
      </c>
      <c r="B577" s="124">
        <f t="shared" si="27"/>
        <v>0</v>
      </c>
      <c r="G577" s="131" t="str">
        <f t="shared" si="26"/>
        <v>L577</v>
      </c>
    </row>
    <row r="578" spans="1:7" x14ac:dyDescent="0.2">
      <c r="A578" s="129">
        <v>558</v>
      </c>
      <c r="B578" s="124">
        <f t="shared" si="27"/>
        <v>0</v>
      </c>
      <c r="G578" s="131" t="str">
        <f t="shared" si="26"/>
        <v>L578</v>
      </c>
    </row>
    <row r="579" spans="1:7" x14ac:dyDescent="0.2">
      <c r="A579" s="129">
        <v>559</v>
      </c>
      <c r="B579" s="124">
        <f t="shared" si="27"/>
        <v>0</v>
      </c>
      <c r="G579" s="131" t="str">
        <f t="shared" si="26"/>
        <v>L579</v>
      </c>
    </row>
    <row r="580" spans="1:7" x14ac:dyDescent="0.2">
      <c r="A580" s="129">
        <v>560</v>
      </c>
      <c r="B580" s="124">
        <f t="shared" si="27"/>
        <v>0</v>
      </c>
      <c r="G580" s="131" t="str">
        <f t="shared" si="26"/>
        <v>L580</v>
      </c>
    </row>
    <row r="581" spans="1:7" x14ac:dyDescent="0.2">
      <c r="A581" s="129">
        <v>561</v>
      </c>
      <c r="B581" s="124">
        <f t="shared" si="27"/>
        <v>0</v>
      </c>
      <c r="G581" s="131" t="str">
        <f t="shared" si="26"/>
        <v>L581</v>
      </c>
    </row>
    <row r="582" spans="1:7" x14ac:dyDescent="0.2">
      <c r="A582" s="129">
        <v>562</v>
      </c>
      <c r="B582" s="124">
        <f t="shared" si="27"/>
        <v>0</v>
      </c>
      <c r="G582" s="131" t="str">
        <f t="shared" si="26"/>
        <v>L582</v>
      </c>
    </row>
    <row r="583" spans="1:7" x14ac:dyDescent="0.2">
      <c r="A583" s="129">
        <v>563</v>
      </c>
      <c r="B583" s="124">
        <f t="shared" si="27"/>
        <v>0</v>
      </c>
      <c r="G583" s="131" t="str">
        <f t="shared" si="26"/>
        <v>L583</v>
      </c>
    </row>
    <row r="584" spans="1:7" x14ac:dyDescent="0.2">
      <c r="A584" s="129">
        <v>564</v>
      </c>
      <c r="B584" s="124">
        <f t="shared" si="27"/>
        <v>0</v>
      </c>
      <c r="G584" s="131" t="str">
        <f t="shared" si="26"/>
        <v>L584</v>
      </c>
    </row>
    <row r="585" spans="1:7" x14ac:dyDescent="0.2">
      <c r="A585" s="129">
        <v>565</v>
      </c>
      <c r="B585" s="124">
        <f t="shared" si="27"/>
        <v>0</v>
      </c>
      <c r="G585" s="131" t="str">
        <f t="shared" si="26"/>
        <v>L585</v>
      </c>
    </row>
    <row r="586" spans="1:7" x14ac:dyDescent="0.2">
      <c r="A586" s="129">
        <v>566</v>
      </c>
      <c r="B586" s="124">
        <f t="shared" si="27"/>
        <v>0</v>
      </c>
      <c r="G586" s="131" t="str">
        <f t="shared" si="26"/>
        <v>L586</v>
      </c>
    </row>
    <row r="587" spans="1:7" x14ac:dyDescent="0.2">
      <c r="A587" s="129">
        <v>567</v>
      </c>
      <c r="B587" s="124">
        <f t="shared" si="27"/>
        <v>0</v>
      </c>
      <c r="G587" s="132" t="str">
        <f t="shared" si="26"/>
        <v>L587</v>
      </c>
    </row>
    <row r="588" spans="1:7" x14ac:dyDescent="0.2">
      <c r="A588" s="129">
        <v>568</v>
      </c>
      <c r="B588" s="124">
        <f t="shared" si="27"/>
        <v>0</v>
      </c>
      <c r="G588" s="131" t="str">
        <f t="shared" si="26"/>
        <v>L588</v>
      </c>
    </row>
    <row r="589" spans="1:7" x14ac:dyDescent="0.2">
      <c r="A589" s="129">
        <v>569</v>
      </c>
      <c r="B589" s="124">
        <f t="shared" si="27"/>
        <v>0</v>
      </c>
      <c r="G589" s="124" t="str">
        <f t="shared" si="26"/>
        <v>L589</v>
      </c>
    </row>
    <row r="590" spans="1:7" x14ac:dyDescent="0.2">
      <c r="A590" s="129">
        <v>570</v>
      </c>
      <c r="B590" s="124">
        <f t="shared" si="27"/>
        <v>0</v>
      </c>
      <c r="G590" s="131" t="str">
        <f t="shared" si="26"/>
        <v>L590</v>
      </c>
    </row>
    <row r="591" spans="1:7" x14ac:dyDescent="0.2">
      <c r="A591" s="129">
        <v>571</v>
      </c>
      <c r="B591" s="124">
        <f t="shared" si="27"/>
        <v>0</v>
      </c>
      <c r="G591" s="131" t="str">
        <f t="shared" si="26"/>
        <v>L591</v>
      </c>
    </row>
    <row r="592" spans="1:7" x14ac:dyDescent="0.2">
      <c r="A592" s="129">
        <v>572</v>
      </c>
      <c r="B592" s="124">
        <f t="shared" si="27"/>
        <v>0</v>
      </c>
      <c r="G592" s="131" t="str">
        <f t="shared" si="26"/>
        <v>L592</v>
      </c>
    </row>
    <row r="593" spans="1:7" x14ac:dyDescent="0.2">
      <c r="A593" s="129">
        <v>573</v>
      </c>
      <c r="B593" s="124">
        <f t="shared" si="27"/>
        <v>0</v>
      </c>
      <c r="G593" s="131" t="str">
        <f t="shared" si="26"/>
        <v>L593</v>
      </c>
    </row>
    <row r="594" spans="1:7" x14ac:dyDescent="0.2">
      <c r="A594" s="129">
        <v>574</v>
      </c>
      <c r="B594" s="124">
        <f t="shared" si="27"/>
        <v>0</v>
      </c>
      <c r="G594" s="131" t="str">
        <f t="shared" si="26"/>
        <v>L594</v>
      </c>
    </row>
    <row r="595" spans="1:7" x14ac:dyDescent="0.2">
      <c r="A595" s="129">
        <v>575</v>
      </c>
      <c r="B595" s="124">
        <f t="shared" si="27"/>
        <v>0</v>
      </c>
      <c r="G595" s="131" t="str">
        <f t="shared" si="26"/>
        <v>L595</v>
      </c>
    </row>
    <row r="596" spans="1:7" x14ac:dyDescent="0.2">
      <c r="A596" s="129">
        <v>576</v>
      </c>
      <c r="B596" s="124">
        <f t="shared" si="27"/>
        <v>0</v>
      </c>
      <c r="G596" s="131" t="str">
        <f t="shared" si="26"/>
        <v>L596</v>
      </c>
    </row>
    <row r="597" spans="1:7" x14ac:dyDescent="0.2">
      <c r="A597" s="129">
        <v>577</v>
      </c>
      <c r="B597" s="124">
        <f t="shared" si="27"/>
        <v>0</v>
      </c>
      <c r="G597" s="131" t="str">
        <f t="shared" si="26"/>
        <v>L597</v>
      </c>
    </row>
    <row r="598" spans="1:7" x14ac:dyDescent="0.2">
      <c r="A598" s="129">
        <v>578</v>
      </c>
      <c r="B598" s="124">
        <f t="shared" si="27"/>
        <v>0</v>
      </c>
      <c r="G598" s="131" t="str">
        <f t="shared" si="26"/>
        <v>L598</v>
      </c>
    </row>
    <row r="599" spans="1:7" x14ac:dyDescent="0.2">
      <c r="A599" s="129">
        <v>579</v>
      </c>
      <c r="B599" s="124">
        <f t="shared" si="27"/>
        <v>0</v>
      </c>
      <c r="G599" s="131" t="str">
        <f t="shared" si="26"/>
        <v>L599</v>
      </c>
    </row>
    <row r="600" spans="1:7" x14ac:dyDescent="0.2">
      <c r="A600" s="129">
        <v>580</v>
      </c>
      <c r="B600" s="124">
        <f t="shared" si="27"/>
        <v>0</v>
      </c>
      <c r="G600" s="131" t="str">
        <f t="shared" si="26"/>
        <v>L600</v>
      </c>
    </row>
    <row r="601" spans="1:7" x14ac:dyDescent="0.2">
      <c r="A601" s="129">
        <v>581</v>
      </c>
      <c r="B601" s="124">
        <f t="shared" si="27"/>
        <v>0</v>
      </c>
      <c r="G601" s="131" t="str">
        <f t="shared" ref="G601:G664" si="28">"L"&amp;ROW()</f>
        <v>L601</v>
      </c>
    </row>
    <row r="602" spans="1:7" x14ac:dyDescent="0.2">
      <c r="A602" s="129">
        <v>582</v>
      </c>
      <c r="B602" s="124">
        <f t="shared" si="27"/>
        <v>0</v>
      </c>
      <c r="G602" s="131" t="str">
        <f t="shared" si="28"/>
        <v>L602</v>
      </c>
    </row>
    <row r="603" spans="1:7" x14ac:dyDescent="0.2">
      <c r="A603" s="129">
        <v>583</v>
      </c>
      <c r="B603" s="124">
        <f t="shared" si="27"/>
        <v>0</v>
      </c>
      <c r="G603" s="131" t="str">
        <f t="shared" si="28"/>
        <v>L603</v>
      </c>
    </row>
    <row r="604" spans="1:7" x14ac:dyDescent="0.2">
      <c r="A604" s="129">
        <v>584</v>
      </c>
      <c r="B604" s="124">
        <f t="shared" si="27"/>
        <v>0</v>
      </c>
      <c r="G604" s="131" t="str">
        <f t="shared" si="28"/>
        <v>L604</v>
      </c>
    </row>
    <row r="605" spans="1:7" x14ac:dyDescent="0.2">
      <c r="A605" s="129">
        <v>585</v>
      </c>
      <c r="B605" s="124">
        <f t="shared" si="27"/>
        <v>0</v>
      </c>
      <c r="G605" s="131" t="str">
        <f t="shared" si="28"/>
        <v>L605</v>
      </c>
    </row>
    <row r="606" spans="1:7" x14ac:dyDescent="0.2">
      <c r="A606" s="129">
        <v>586</v>
      </c>
      <c r="B606" s="124">
        <f t="shared" si="27"/>
        <v>0</v>
      </c>
      <c r="G606" s="131" t="str">
        <f t="shared" si="28"/>
        <v>L606</v>
      </c>
    </row>
    <row r="607" spans="1:7" x14ac:dyDescent="0.2">
      <c r="A607" s="129">
        <v>587</v>
      </c>
      <c r="B607" s="124">
        <f t="shared" si="27"/>
        <v>0</v>
      </c>
      <c r="G607" s="131" t="str">
        <f t="shared" si="28"/>
        <v>L607</v>
      </c>
    </row>
    <row r="608" spans="1:7" x14ac:dyDescent="0.2">
      <c r="A608" s="129">
        <v>588</v>
      </c>
      <c r="B608" s="124">
        <f t="shared" si="27"/>
        <v>0</v>
      </c>
      <c r="G608" s="131" t="str">
        <f t="shared" si="28"/>
        <v>L608</v>
      </c>
    </row>
    <row r="609" spans="1:7" x14ac:dyDescent="0.2">
      <c r="A609" s="129">
        <v>589</v>
      </c>
      <c r="B609" s="124">
        <f t="shared" si="27"/>
        <v>0</v>
      </c>
      <c r="G609" s="131" t="str">
        <f t="shared" si="28"/>
        <v>L609</v>
      </c>
    </row>
    <row r="610" spans="1:7" x14ac:dyDescent="0.2">
      <c r="A610" s="129">
        <v>590</v>
      </c>
      <c r="B610" s="124">
        <f t="shared" si="27"/>
        <v>0</v>
      </c>
      <c r="G610" s="131" t="str">
        <f t="shared" si="28"/>
        <v>L610</v>
      </c>
    </row>
    <row r="611" spans="1:7" x14ac:dyDescent="0.2">
      <c r="A611" s="129">
        <v>591</v>
      </c>
      <c r="B611" s="124">
        <f t="shared" si="27"/>
        <v>0</v>
      </c>
      <c r="G611" s="124" t="str">
        <f t="shared" si="28"/>
        <v>L611</v>
      </c>
    </row>
    <row r="612" spans="1:7" x14ac:dyDescent="0.2">
      <c r="A612" s="129">
        <v>592</v>
      </c>
      <c r="B612" s="124">
        <f t="shared" si="27"/>
        <v>0</v>
      </c>
      <c r="G612" s="124" t="str">
        <f t="shared" si="28"/>
        <v>L612</v>
      </c>
    </row>
    <row r="613" spans="1:7" x14ac:dyDescent="0.2">
      <c r="A613" s="129">
        <v>593</v>
      </c>
      <c r="B613" s="124">
        <f t="shared" si="27"/>
        <v>0</v>
      </c>
      <c r="G613" s="124" t="str">
        <f t="shared" si="28"/>
        <v>L613</v>
      </c>
    </row>
    <row r="614" spans="1:7" x14ac:dyDescent="0.2">
      <c r="A614" s="129">
        <v>594</v>
      </c>
      <c r="B614" s="124">
        <f t="shared" si="27"/>
        <v>0</v>
      </c>
      <c r="G614" s="124" t="str">
        <f t="shared" si="28"/>
        <v>L614</v>
      </c>
    </row>
    <row r="615" spans="1:7" x14ac:dyDescent="0.2">
      <c r="A615" s="129">
        <v>595</v>
      </c>
      <c r="B615" s="124">
        <f t="shared" si="27"/>
        <v>0</v>
      </c>
      <c r="G615" s="124" t="str">
        <f t="shared" si="28"/>
        <v>L615</v>
      </c>
    </row>
    <row r="616" spans="1:7" x14ac:dyDescent="0.2">
      <c r="A616" s="129">
        <v>596</v>
      </c>
      <c r="B616" s="124">
        <f t="shared" si="27"/>
        <v>0</v>
      </c>
      <c r="G616" s="124" t="str">
        <f t="shared" si="28"/>
        <v>L616</v>
      </c>
    </row>
    <row r="617" spans="1:7" x14ac:dyDescent="0.2">
      <c r="A617" s="129">
        <v>597</v>
      </c>
      <c r="B617" s="124">
        <f t="shared" si="27"/>
        <v>0</v>
      </c>
      <c r="G617" s="124" t="str">
        <f t="shared" si="28"/>
        <v>L617</v>
      </c>
    </row>
    <row r="618" spans="1:7" x14ac:dyDescent="0.2">
      <c r="A618" s="129">
        <v>598</v>
      </c>
      <c r="B618" s="124">
        <f t="shared" si="27"/>
        <v>0</v>
      </c>
      <c r="G618" s="124" t="str">
        <f t="shared" si="28"/>
        <v>L618</v>
      </c>
    </row>
    <row r="619" spans="1:7" x14ac:dyDescent="0.2">
      <c r="A619" s="129">
        <v>599</v>
      </c>
      <c r="B619" s="124">
        <f t="shared" si="27"/>
        <v>0</v>
      </c>
      <c r="G619" s="124" t="str">
        <f t="shared" si="28"/>
        <v>L619</v>
      </c>
    </row>
    <row r="620" spans="1:7" x14ac:dyDescent="0.2">
      <c r="A620" s="129">
        <v>600</v>
      </c>
      <c r="B620" s="124">
        <f t="shared" si="27"/>
        <v>0</v>
      </c>
      <c r="G620" s="124" t="str">
        <f t="shared" si="28"/>
        <v>L620</v>
      </c>
    </row>
    <row r="621" spans="1:7" x14ac:dyDescent="0.2">
      <c r="A621" s="129">
        <v>601</v>
      </c>
      <c r="B621" s="124">
        <f t="shared" si="27"/>
        <v>0</v>
      </c>
      <c r="G621" s="124" t="str">
        <f t="shared" si="28"/>
        <v>L621</v>
      </c>
    </row>
    <row r="622" spans="1:7" x14ac:dyDescent="0.2">
      <c r="A622" s="129">
        <v>602</v>
      </c>
      <c r="B622" s="124">
        <f t="shared" si="27"/>
        <v>0</v>
      </c>
      <c r="G622" s="124" t="str">
        <f t="shared" si="28"/>
        <v>L622</v>
      </c>
    </row>
    <row r="623" spans="1:7" x14ac:dyDescent="0.2">
      <c r="A623" s="129">
        <v>603</v>
      </c>
      <c r="B623" s="124">
        <f t="shared" si="27"/>
        <v>0</v>
      </c>
      <c r="G623" s="124" t="str">
        <f t="shared" si="28"/>
        <v>L623</v>
      </c>
    </row>
    <row r="624" spans="1:7" x14ac:dyDescent="0.2">
      <c r="A624" s="129">
        <v>604</v>
      </c>
      <c r="B624" s="124">
        <f t="shared" si="27"/>
        <v>0</v>
      </c>
      <c r="G624" s="124" t="str">
        <f t="shared" si="28"/>
        <v>L624</v>
      </c>
    </row>
    <row r="625" spans="1:7" x14ac:dyDescent="0.2">
      <c r="A625" s="129">
        <v>605</v>
      </c>
      <c r="B625" s="124">
        <f t="shared" si="27"/>
        <v>0</v>
      </c>
      <c r="G625" s="124" t="str">
        <f t="shared" si="28"/>
        <v>L625</v>
      </c>
    </row>
    <row r="626" spans="1:7" x14ac:dyDescent="0.2">
      <c r="A626" s="129">
        <v>606</v>
      </c>
      <c r="B626" s="124">
        <f t="shared" si="27"/>
        <v>0</v>
      </c>
      <c r="G626" s="124" t="str">
        <f t="shared" si="28"/>
        <v>L626</v>
      </c>
    </row>
    <row r="627" spans="1:7" x14ac:dyDescent="0.2">
      <c r="A627" s="129">
        <v>607</v>
      </c>
      <c r="B627" s="124">
        <f t="shared" si="27"/>
        <v>0</v>
      </c>
      <c r="G627" s="124" t="str">
        <f t="shared" si="28"/>
        <v>L627</v>
      </c>
    </row>
    <row r="628" spans="1:7" x14ac:dyDescent="0.2">
      <c r="A628" s="129">
        <v>608</v>
      </c>
      <c r="B628" s="124">
        <f t="shared" si="27"/>
        <v>0</v>
      </c>
      <c r="G628" s="124" t="str">
        <f t="shared" si="28"/>
        <v>L628</v>
      </c>
    </row>
    <row r="629" spans="1:7" x14ac:dyDescent="0.2">
      <c r="A629" s="129">
        <v>609</v>
      </c>
      <c r="B629" s="124">
        <f t="shared" ref="B629:B692" si="29">HLOOKUP($B$13,$C$21:$G$820,A629,FALSE)</f>
        <v>0</v>
      </c>
      <c r="G629" s="124" t="str">
        <f t="shared" si="28"/>
        <v>L629</v>
      </c>
    </row>
    <row r="630" spans="1:7" x14ac:dyDescent="0.2">
      <c r="A630" s="129">
        <v>610</v>
      </c>
      <c r="B630" s="124">
        <f t="shared" si="29"/>
        <v>0</v>
      </c>
      <c r="G630" s="124" t="str">
        <f t="shared" si="28"/>
        <v>L630</v>
      </c>
    </row>
    <row r="631" spans="1:7" x14ac:dyDescent="0.2">
      <c r="A631" s="129">
        <v>611</v>
      </c>
      <c r="B631" s="124">
        <f t="shared" si="29"/>
        <v>0</v>
      </c>
      <c r="G631" s="124" t="str">
        <f t="shared" si="28"/>
        <v>L631</v>
      </c>
    </row>
    <row r="632" spans="1:7" x14ac:dyDescent="0.2">
      <c r="A632" s="129">
        <v>612</v>
      </c>
      <c r="B632" s="124">
        <f t="shared" si="29"/>
        <v>0</v>
      </c>
      <c r="G632" s="124" t="str">
        <f t="shared" si="28"/>
        <v>L632</v>
      </c>
    </row>
    <row r="633" spans="1:7" x14ac:dyDescent="0.2">
      <c r="A633" s="129">
        <v>613</v>
      </c>
      <c r="B633" s="124">
        <f t="shared" si="29"/>
        <v>0</v>
      </c>
      <c r="G633" s="124" t="str">
        <f t="shared" si="28"/>
        <v>L633</v>
      </c>
    </row>
    <row r="634" spans="1:7" x14ac:dyDescent="0.2">
      <c r="A634" s="129">
        <v>614</v>
      </c>
      <c r="B634" s="124">
        <f t="shared" si="29"/>
        <v>0</v>
      </c>
      <c r="G634" s="124" t="str">
        <f t="shared" si="28"/>
        <v>L634</v>
      </c>
    </row>
    <row r="635" spans="1:7" x14ac:dyDescent="0.2">
      <c r="A635" s="129">
        <v>615</v>
      </c>
      <c r="B635" s="124">
        <f t="shared" si="29"/>
        <v>0</v>
      </c>
      <c r="G635" s="124" t="str">
        <f t="shared" si="28"/>
        <v>L635</v>
      </c>
    </row>
    <row r="636" spans="1:7" x14ac:dyDescent="0.2">
      <c r="A636" s="129">
        <v>616</v>
      </c>
      <c r="B636" s="124">
        <f t="shared" si="29"/>
        <v>0</v>
      </c>
      <c r="G636" s="124" t="str">
        <f t="shared" si="28"/>
        <v>L636</v>
      </c>
    </row>
    <row r="637" spans="1:7" x14ac:dyDescent="0.2">
      <c r="A637" s="129">
        <v>617</v>
      </c>
      <c r="B637" s="124">
        <f t="shared" si="29"/>
        <v>0</v>
      </c>
      <c r="G637" s="124" t="str">
        <f t="shared" si="28"/>
        <v>L637</v>
      </c>
    </row>
    <row r="638" spans="1:7" x14ac:dyDescent="0.2">
      <c r="A638" s="129">
        <v>618</v>
      </c>
      <c r="B638" s="124">
        <f t="shared" si="29"/>
        <v>0</v>
      </c>
      <c r="G638" s="124" t="str">
        <f t="shared" si="28"/>
        <v>L638</v>
      </c>
    </row>
    <row r="639" spans="1:7" x14ac:dyDescent="0.2">
      <c r="A639" s="129">
        <v>619</v>
      </c>
      <c r="B639" s="124">
        <f t="shared" si="29"/>
        <v>0</v>
      </c>
      <c r="G639" s="124" t="str">
        <f t="shared" si="28"/>
        <v>L639</v>
      </c>
    </row>
    <row r="640" spans="1:7" x14ac:dyDescent="0.2">
      <c r="A640" s="129">
        <v>620</v>
      </c>
      <c r="B640" s="124">
        <f t="shared" si="29"/>
        <v>0</v>
      </c>
      <c r="G640" s="124" t="str">
        <f t="shared" si="28"/>
        <v>L640</v>
      </c>
    </row>
    <row r="641" spans="1:7" x14ac:dyDescent="0.2">
      <c r="A641" s="129">
        <v>621</v>
      </c>
      <c r="B641" s="124">
        <f t="shared" si="29"/>
        <v>0</v>
      </c>
      <c r="G641" s="124" t="str">
        <f t="shared" si="28"/>
        <v>L641</v>
      </c>
    </row>
    <row r="642" spans="1:7" x14ac:dyDescent="0.2">
      <c r="A642" s="129">
        <v>622</v>
      </c>
      <c r="B642" s="124">
        <f t="shared" si="29"/>
        <v>0</v>
      </c>
      <c r="G642" s="124" t="str">
        <f t="shared" si="28"/>
        <v>L642</v>
      </c>
    </row>
    <row r="643" spans="1:7" x14ac:dyDescent="0.2">
      <c r="A643" s="129">
        <v>623</v>
      </c>
      <c r="B643" s="124">
        <f t="shared" si="29"/>
        <v>0</v>
      </c>
      <c r="G643" s="124" t="str">
        <f t="shared" si="28"/>
        <v>L643</v>
      </c>
    </row>
    <row r="644" spans="1:7" x14ac:dyDescent="0.2">
      <c r="A644" s="129">
        <v>624</v>
      </c>
      <c r="B644" s="124">
        <f t="shared" si="29"/>
        <v>0</v>
      </c>
      <c r="G644" s="124" t="str">
        <f t="shared" si="28"/>
        <v>L644</v>
      </c>
    </row>
    <row r="645" spans="1:7" x14ac:dyDescent="0.2">
      <c r="A645" s="129">
        <v>625</v>
      </c>
      <c r="B645" s="124">
        <f t="shared" si="29"/>
        <v>0</v>
      </c>
      <c r="G645" s="124" t="str">
        <f t="shared" si="28"/>
        <v>L645</v>
      </c>
    </row>
    <row r="646" spans="1:7" x14ac:dyDescent="0.2">
      <c r="A646" s="129">
        <v>626</v>
      </c>
      <c r="B646" s="124">
        <f t="shared" si="29"/>
        <v>0</v>
      </c>
      <c r="G646" s="124" t="str">
        <f t="shared" si="28"/>
        <v>L646</v>
      </c>
    </row>
    <row r="647" spans="1:7" x14ac:dyDescent="0.2">
      <c r="A647" s="129">
        <v>627</v>
      </c>
      <c r="B647" s="124">
        <f t="shared" si="29"/>
        <v>0</v>
      </c>
      <c r="G647" s="124" t="str">
        <f t="shared" si="28"/>
        <v>L647</v>
      </c>
    </row>
    <row r="648" spans="1:7" x14ac:dyDescent="0.2">
      <c r="A648" s="129">
        <v>628</v>
      </c>
      <c r="B648" s="124">
        <f t="shared" si="29"/>
        <v>0</v>
      </c>
      <c r="G648" s="124" t="str">
        <f t="shared" si="28"/>
        <v>L648</v>
      </c>
    </row>
    <row r="649" spans="1:7" x14ac:dyDescent="0.2">
      <c r="A649" s="129">
        <v>629</v>
      </c>
      <c r="B649" s="124">
        <f t="shared" si="29"/>
        <v>0</v>
      </c>
      <c r="G649" s="124" t="str">
        <f t="shared" si="28"/>
        <v>L649</v>
      </c>
    </row>
    <row r="650" spans="1:7" x14ac:dyDescent="0.2">
      <c r="A650" s="129">
        <v>630</v>
      </c>
      <c r="B650" s="124">
        <f t="shared" si="29"/>
        <v>0</v>
      </c>
      <c r="G650" s="124" t="str">
        <f t="shared" si="28"/>
        <v>L650</v>
      </c>
    </row>
    <row r="651" spans="1:7" x14ac:dyDescent="0.2">
      <c r="A651" s="129">
        <v>631</v>
      </c>
      <c r="B651" s="124">
        <f t="shared" si="29"/>
        <v>0</v>
      </c>
      <c r="G651" s="124" t="str">
        <f t="shared" si="28"/>
        <v>L651</v>
      </c>
    </row>
    <row r="652" spans="1:7" x14ac:dyDescent="0.2">
      <c r="A652" s="129">
        <v>632</v>
      </c>
      <c r="B652" s="124">
        <f t="shared" si="29"/>
        <v>0</v>
      </c>
      <c r="G652" s="124" t="str">
        <f t="shared" si="28"/>
        <v>L652</v>
      </c>
    </row>
    <row r="653" spans="1:7" x14ac:dyDescent="0.2">
      <c r="A653" s="129">
        <v>633</v>
      </c>
      <c r="B653" s="124">
        <f t="shared" si="29"/>
        <v>0</v>
      </c>
      <c r="G653" s="124" t="str">
        <f t="shared" si="28"/>
        <v>L653</v>
      </c>
    </row>
    <row r="654" spans="1:7" x14ac:dyDescent="0.2">
      <c r="A654" s="129">
        <v>634</v>
      </c>
      <c r="B654" s="124">
        <f t="shared" si="29"/>
        <v>0</v>
      </c>
      <c r="G654" s="124" t="str">
        <f t="shared" si="28"/>
        <v>L654</v>
      </c>
    </row>
    <row r="655" spans="1:7" x14ac:dyDescent="0.2">
      <c r="A655" s="129">
        <v>635</v>
      </c>
      <c r="B655" s="124">
        <f t="shared" si="29"/>
        <v>0</v>
      </c>
      <c r="G655" s="124" t="str">
        <f t="shared" si="28"/>
        <v>L655</v>
      </c>
    </row>
    <row r="656" spans="1:7" x14ac:dyDescent="0.2">
      <c r="A656" s="129">
        <v>636</v>
      </c>
      <c r="B656" s="124">
        <f t="shared" si="29"/>
        <v>0</v>
      </c>
      <c r="G656" s="124" t="str">
        <f t="shared" si="28"/>
        <v>L656</v>
      </c>
    </row>
    <row r="657" spans="1:7" x14ac:dyDescent="0.2">
      <c r="A657" s="129">
        <v>637</v>
      </c>
      <c r="B657" s="124">
        <f t="shared" si="29"/>
        <v>0</v>
      </c>
      <c r="G657" s="124" t="str">
        <f t="shared" si="28"/>
        <v>L657</v>
      </c>
    </row>
    <row r="658" spans="1:7" x14ac:dyDescent="0.2">
      <c r="A658" s="129">
        <v>638</v>
      </c>
      <c r="B658" s="124">
        <f t="shared" si="29"/>
        <v>0</v>
      </c>
      <c r="G658" s="124" t="str">
        <f t="shared" si="28"/>
        <v>L658</v>
      </c>
    </row>
    <row r="659" spans="1:7" x14ac:dyDescent="0.2">
      <c r="A659" s="129">
        <v>639</v>
      </c>
      <c r="B659" s="124">
        <f t="shared" si="29"/>
        <v>0</v>
      </c>
      <c r="G659" s="124" t="str">
        <f t="shared" si="28"/>
        <v>L659</v>
      </c>
    </row>
    <row r="660" spans="1:7" x14ac:dyDescent="0.2">
      <c r="A660" s="129">
        <v>640</v>
      </c>
      <c r="B660" s="124">
        <f t="shared" si="29"/>
        <v>0</v>
      </c>
      <c r="G660" s="124" t="str">
        <f t="shared" si="28"/>
        <v>L660</v>
      </c>
    </row>
    <row r="661" spans="1:7" x14ac:dyDescent="0.2">
      <c r="A661" s="129">
        <v>641</v>
      </c>
      <c r="B661" s="124">
        <f t="shared" si="29"/>
        <v>0</v>
      </c>
      <c r="G661" s="124" t="str">
        <f t="shared" si="28"/>
        <v>L661</v>
      </c>
    </row>
    <row r="662" spans="1:7" x14ac:dyDescent="0.2">
      <c r="A662" s="129">
        <v>642</v>
      </c>
      <c r="B662" s="124">
        <f t="shared" si="29"/>
        <v>0</v>
      </c>
      <c r="G662" s="124" t="str">
        <f t="shared" si="28"/>
        <v>L662</v>
      </c>
    </row>
    <row r="663" spans="1:7" x14ac:dyDescent="0.2">
      <c r="A663" s="129">
        <v>643</v>
      </c>
      <c r="B663" s="124">
        <f t="shared" si="29"/>
        <v>0</v>
      </c>
      <c r="G663" s="124" t="str">
        <f t="shared" si="28"/>
        <v>L663</v>
      </c>
    </row>
    <row r="664" spans="1:7" x14ac:dyDescent="0.2">
      <c r="A664" s="129">
        <v>644</v>
      </c>
      <c r="B664" s="124">
        <f t="shared" si="29"/>
        <v>0</v>
      </c>
      <c r="G664" s="124" t="str">
        <f t="shared" si="28"/>
        <v>L664</v>
      </c>
    </row>
    <row r="665" spans="1:7" x14ac:dyDescent="0.2">
      <c r="A665" s="129">
        <v>645</v>
      </c>
      <c r="B665" s="124">
        <f t="shared" si="29"/>
        <v>0</v>
      </c>
      <c r="G665" s="124" t="str">
        <f t="shared" ref="G665:G728" si="30">"L"&amp;ROW()</f>
        <v>L665</v>
      </c>
    </row>
    <row r="666" spans="1:7" x14ac:dyDescent="0.2">
      <c r="A666" s="129">
        <v>646</v>
      </c>
      <c r="B666" s="124">
        <f t="shared" si="29"/>
        <v>0</v>
      </c>
      <c r="G666" s="124" t="str">
        <f t="shared" si="30"/>
        <v>L666</v>
      </c>
    </row>
    <row r="667" spans="1:7" x14ac:dyDescent="0.2">
      <c r="A667" s="129">
        <v>647</v>
      </c>
      <c r="B667" s="124">
        <f t="shared" si="29"/>
        <v>0</v>
      </c>
      <c r="G667" s="124" t="str">
        <f t="shared" si="30"/>
        <v>L667</v>
      </c>
    </row>
    <row r="668" spans="1:7" x14ac:dyDescent="0.2">
      <c r="A668" s="129">
        <v>648</v>
      </c>
      <c r="B668" s="124">
        <f t="shared" si="29"/>
        <v>0</v>
      </c>
      <c r="G668" s="124" t="str">
        <f t="shared" si="30"/>
        <v>L668</v>
      </c>
    </row>
    <row r="669" spans="1:7" x14ac:dyDescent="0.2">
      <c r="A669" s="129">
        <v>649</v>
      </c>
      <c r="B669" s="124">
        <f t="shared" si="29"/>
        <v>0</v>
      </c>
      <c r="G669" s="124" t="str">
        <f t="shared" si="30"/>
        <v>L669</v>
      </c>
    </row>
    <row r="670" spans="1:7" x14ac:dyDescent="0.2">
      <c r="A670" s="129">
        <v>650</v>
      </c>
      <c r="B670" s="124">
        <f t="shared" si="29"/>
        <v>0</v>
      </c>
      <c r="G670" s="124" t="str">
        <f t="shared" si="30"/>
        <v>L670</v>
      </c>
    </row>
    <row r="671" spans="1:7" x14ac:dyDescent="0.2">
      <c r="A671" s="129">
        <v>651</v>
      </c>
      <c r="B671" s="124">
        <f t="shared" si="29"/>
        <v>0</v>
      </c>
      <c r="G671" s="124" t="str">
        <f t="shared" si="30"/>
        <v>L671</v>
      </c>
    </row>
    <row r="672" spans="1:7" x14ac:dyDescent="0.2">
      <c r="A672" s="129">
        <v>652</v>
      </c>
      <c r="B672" s="124">
        <f t="shared" si="29"/>
        <v>0</v>
      </c>
      <c r="G672" s="124" t="str">
        <f t="shared" si="30"/>
        <v>L672</v>
      </c>
    </row>
    <row r="673" spans="1:7" x14ac:dyDescent="0.2">
      <c r="A673" s="129">
        <v>653</v>
      </c>
      <c r="B673" s="124">
        <f t="shared" si="29"/>
        <v>0</v>
      </c>
      <c r="G673" s="124" t="str">
        <f t="shared" si="30"/>
        <v>L673</v>
      </c>
    </row>
    <row r="674" spans="1:7" x14ac:dyDescent="0.2">
      <c r="A674" s="129">
        <v>654</v>
      </c>
      <c r="B674" s="124">
        <f t="shared" si="29"/>
        <v>0</v>
      </c>
      <c r="G674" s="124" t="str">
        <f t="shared" si="30"/>
        <v>L674</v>
      </c>
    </row>
    <row r="675" spans="1:7" x14ac:dyDescent="0.2">
      <c r="A675" s="129">
        <v>655</v>
      </c>
      <c r="B675" s="124">
        <f t="shared" si="29"/>
        <v>0</v>
      </c>
      <c r="G675" s="124" t="str">
        <f t="shared" si="30"/>
        <v>L675</v>
      </c>
    </row>
    <row r="676" spans="1:7" x14ac:dyDescent="0.2">
      <c r="A676" s="129">
        <v>656</v>
      </c>
      <c r="B676" s="124">
        <f t="shared" si="29"/>
        <v>0</v>
      </c>
      <c r="G676" s="124" t="str">
        <f t="shared" si="30"/>
        <v>L676</v>
      </c>
    </row>
    <row r="677" spans="1:7" x14ac:dyDescent="0.2">
      <c r="A677" s="129">
        <v>657</v>
      </c>
      <c r="B677" s="124">
        <f t="shared" si="29"/>
        <v>0</v>
      </c>
      <c r="G677" s="124" t="str">
        <f t="shared" si="30"/>
        <v>L677</v>
      </c>
    </row>
    <row r="678" spans="1:7" x14ac:dyDescent="0.2">
      <c r="A678" s="129">
        <v>658</v>
      </c>
      <c r="B678" s="124">
        <f t="shared" si="29"/>
        <v>0</v>
      </c>
      <c r="G678" s="124" t="str">
        <f t="shared" si="30"/>
        <v>L678</v>
      </c>
    </row>
    <row r="679" spans="1:7" x14ac:dyDescent="0.2">
      <c r="A679" s="129">
        <v>659</v>
      </c>
      <c r="B679" s="124">
        <f t="shared" si="29"/>
        <v>0</v>
      </c>
      <c r="G679" s="124" t="str">
        <f t="shared" si="30"/>
        <v>L679</v>
      </c>
    </row>
    <row r="680" spans="1:7" x14ac:dyDescent="0.2">
      <c r="A680" s="129">
        <v>660</v>
      </c>
      <c r="B680" s="124">
        <f t="shared" si="29"/>
        <v>0</v>
      </c>
      <c r="G680" s="124" t="str">
        <f t="shared" si="30"/>
        <v>L680</v>
      </c>
    </row>
    <row r="681" spans="1:7" x14ac:dyDescent="0.2">
      <c r="A681" s="129">
        <v>661</v>
      </c>
      <c r="B681" s="124">
        <f t="shared" si="29"/>
        <v>0</v>
      </c>
      <c r="G681" s="124" t="str">
        <f t="shared" si="30"/>
        <v>L681</v>
      </c>
    </row>
    <row r="682" spans="1:7" x14ac:dyDescent="0.2">
      <c r="A682" s="129">
        <v>662</v>
      </c>
      <c r="B682" s="124">
        <f t="shared" si="29"/>
        <v>0</v>
      </c>
      <c r="G682" s="124" t="str">
        <f t="shared" si="30"/>
        <v>L682</v>
      </c>
    </row>
    <row r="683" spans="1:7" x14ac:dyDescent="0.2">
      <c r="A683" s="129">
        <v>663</v>
      </c>
      <c r="B683" s="124">
        <f t="shared" si="29"/>
        <v>0</v>
      </c>
      <c r="G683" s="124" t="str">
        <f t="shared" si="30"/>
        <v>L683</v>
      </c>
    </row>
    <row r="684" spans="1:7" x14ac:dyDescent="0.2">
      <c r="A684" s="129">
        <v>664</v>
      </c>
      <c r="B684" s="124">
        <f t="shared" si="29"/>
        <v>0</v>
      </c>
      <c r="G684" s="124" t="str">
        <f t="shared" si="30"/>
        <v>L684</v>
      </c>
    </row>
    <row r="685" spans="1:7" x14ac:dyDescent="0.2">
      <c r="A685" s="129">
        <v>665</v>
      </c>
      <c r="B685" s="124">
        <f t="shared" si="29"/>
        <v>0</v>
      </c>
      <c r="G685" s="124" t="str">
        <f t="shared" si="30"/>
        <v>L685</v>
      </c>
    </row>
    <row r="686" spans="1:7" x14ac:dyDescent="0.2">
      <c r="A686" s="129">
        <v>666</v>
      </c>
      <c r="B686" s="124">
        <f t="shared" si="29"/>
        <v>0</v>
      </c>
      <c r="G686" s="124" t="str">
        <f t="shared" si="30"/>
        <v>L686</v>
      </c>
    </row>
    <row r="687" spans="1:7" x14ac:dyDescent="0.2">
      <c r="A687" s="129">
        <v>667</v>
      </c>
      <c r="B687" s="124">
        <f t="shared" si="29"/>
        <v>0</v>
      </c>
      <c r="G687" s="124" t="str">
        <f t="shared" si="30"/>
        <v>L687</v>
      </c>
    </row>
    <row r="688" spans="1:7" x14ac:dyDescent="0.2">
      <c r="A688" s="129">
        <v>668</v>
      </c>
      <c r="B688" s="124">
        <f t="shared" si="29"/>
        <v>0</v>
      </c>
      <c r="G688" s="124" t="str">
        <f t="shared" si="30"/>
        <v>L688</v>
      </c>
    </row>
    <row r="689" spans="1:7" x14ac:dyDescent="0.2">
      <c r="A689" s="129">
        <v>669</v>
      </c>
      <c r="B689" s="124">
        <f t="shared" si="29"/>
        <v>0</v>
      </c>
      <c r="G689" s="124" t="str">
        <f t="shared" si="30"/>
        <v>L689</v>
      </c>
    </row>
    <row r="690" spans="1:7" x14ac:dyDescent="0.2">
      <c r="A690" s="129">
        <v>670</v>
      </c>
      <c r="B690" s="124">
        <f t="shared" si="29"/>
        <v>0</v>
      </c>
      <c r="G690" s="124" t="str">
        <f t="shared" si="30"/>
        <v>L690</v>
      </c>
    </row>
    <row r="691" spans="1:7" x14ac:dyDescent="0.2">
      <c r="A691" s="129">
        <v>671</v>
      </c>
      <c r="B691" s="124">
        <f t="shared" si="29"/>
        <v>0</v>
      </c>
      <c r="G691" s="124" t="str">
        <f t="shared" si="30"/>
        <v>L691</v>
      </c>
    </row>
    <row r="692" spans="1:7" x14ac:dyDescent="0.2">
      <c r="A692" s="129">
        <v>672</v>
      </c>
      <c r="B692" s="124">
        <f t="shared" si="29"/>
        <v>0</v>
      </c>
      <c r="G692" s="124" t="str">
        <f t="shared" si="30"/>
        <v>L692</v>
      </c>
    </row>
    <row r="693" spans="1:7" x14ac:dyDescent="0.2">
      <c r="A693" s="129">
        <v>673</v>
      </c>
      <c r="B693" s="124">
        <f t="shared" ref="B693:B756" si="31">HLOOKUP($B$13,$C$21:$G$820,A693,FALSE)</f>
        <v>0</v>
      </c>
      <c r="G693" s="124" t="str">
        <f t="shared" si="30"/>
        <v>L693</v>
      </c>
    </row>
    <row r="694" spans="1:7" x14ac:dyDescent="0.2">
      <c r="A694" s="129">
        <v>674</v>
      </c>
      <c r="B694" s="124">
        <f t="shared" si="31"/>
        <v>0</v>
      </c>
      <c r="G694" s="124" t="str">
        <f t="shared" si="30"/>
        <v>L694</v>
      </c>
    </row>
    <row r="695" spans="1:7" x14ac:dyDescent="0.2">
      <c r="A695" s="129">
        <v>675</v>
      </c>
      <c r="B695" s="124">
        <f t="shared" si="31"/>
        <v>0</v>
      </c>
      <c r="G695" s="124" t="str">
        <f t="shared" si="30"/>
        <v>L695</v>
      </c>
    </row>
    <row r="696" spans="1:7" x14ac:dyDescent="0.2">
      <c r="A696" s="129">
        <v>676</v>
      </c>
      <c r="B696" s="124">
        <f t="shared" si="31"/>
        <v>0</v>
      </c>
      <c r="G696" s="124" t="str">
        <f t="shared" si="30"/>
        <v>L696</v>
      </c>
    </row>
    <row r="697" spans="1:7" x14ac:dyDescent="0.2">
      <c r="A697" s="129">
        <v>677</v>
      </c>
      <c r="B697" s="124">
        <f t="shared" si="31"/>
        <v>0</v>
      </c>
      <c r="G697" s="124" t="str">
        <f t="shared" si="30"/>
        <v>L697</v>
      </c>
    </row>
    <row r="698" spans="1:7" x14ac:dyDescent="0.2">
      <c r="A698" s="129">
        <v>678</v>
      </c>
      <c r="B698" s="124">
        <f t="shared" si="31"/>
        <v>0</v>
      </c>
      <c r="G698" s="124" t="str">
        <f t="shared" si="30"/>
        <v>L698</v>
      </c>
    </row>
    <row r="699" spans="1:7" x14ac:dyDescent="0.2">
      <c r="A699" s="129">
        <v>679</v>
      </c>
      <c r="B699" s="124">
        <f t="shared" si="31"/>
        <v>0</v>
      </c>
      <c r="G699" s="124" t="str">
        <f t="shared" si="30"/>
        <v>L699</v>
      </c>
    </row>
    <row r="700" spans="1:7" x14ac:dyDescent="0.2">
      <c r="A700" s="129">
        <v>680</v>
      </c>
      <c r="B700" s="124">
        <f t="shared" si="31"/>
        <v>0</v>
      </c>
      <c r="G700" s="124" t="str">
        <f t="shared" si="30"/>
        <v>L700</v>
      </c>
    </row>
    <row r="701" spans="1:7" x14ac:dyDescent="0.2">
      <c r="A701" s="129">
        <v>681</v>
      </c>
      <c r="B701" s="124">
        <f t="shared" si="31"/>
        <v>0</v>
      </c>
      <c r="G701" s="124" t="str">
        <f t="shared" si="30"/>
        <v>L701</v>
      </c>
    </row>
    <row r="702" spans="1:7" x14ac:dyDescent="0.2">
      <c r="A702" s="129">
        <v>682</v>
      </c>
      <c r="B702" s="124">
        <f t="shared" si="31"/>
        <v>0</v>
      </c>
      <c r="G702" s="124" t="str">
        <f t="shared" si="30"/>
        <v>L702</v>
      </c>
    </row>
    <row r="703" spans="1:7" x14ac:dyDescent="0.2">
      <c r="A703" s="129">
        <v>683</v>
      </c>
      <c r="B703" s="124">
        <f t="shared" si="31"/>
        <v>0</v>
      </c>
      <c r="G703" s="124" t="str">
        <f t="shared" si="30"/>
        <v>L703</v>
      </c>
    </row>
    <row r="704" spans="1:7" x14ac:dyDescent="0.2">
      <c r="A704" s="129">
        <v>684</v>
      </c>
      <c r="B704" s="124">
        <f t="shared" si="31"/>
        <v>0</v>
      </c>
      <c r="G704" s="124" t="str">
        <f t="shared" si="30"/>
        <v>L704</v>
      </c>
    </row>
    <row r="705" spans="1:7" x14ac:dyDescent="0.2">
      <c r="A705" s="129">
        <v>685</v>
      </c>
      <c r="B705" s="124">
        <f t="shared" si="31"/>
        <v>0</v>
      </c>
      <c r="G705" s="124" t="str">
        <f t="shared" si="30"/>
        <v>L705</v>
      </c>
    </row>
    <row r="706" spans="1:7" x14ac:dyDescent="0.2">
      <c r="A706" s="129">
        <v>686</v>
      </c>
      <c r="B706" s="124">
        <f t="shared" si="31"/>
        <v>0</v>
      </c>
      <c r="G706" s="124" t="str">
        <f t="shared" si="30"/>
        <v>L706</v>
      </c>
    </row>
    <row r="707" spans="1:7" x14ac:dyDescent="0.2">
      <c r="A707" s="129">
        <v>687</v>
      </c>
      <c r="B707" s="124">
        <f t="shared" si="31"/>
        <v>0</v>
      </c>
      <c r="G707" s="124" t="str">
        <f t="shared" si="30"/>
        <v>L707</v>
      </c>
    </row>
    <row r="708" spans="1:7" x14ac:dyDescent="0.2">
      <c r="A708" s="129">
        <v>688</v>
      </c>
      <c r="B708" s="124">
        <f t="shared" si="31"/>
        <v>0</v>
      </c>
      <c r="G708" s="124" t="str">
        <f t="shared" si="30"/>
        <v>L708</v>
      </c>
    </row>
    <row r="709" spans="1:7" x14ac:dyDescent="0.2">
      <c r="A709" s="129">
        <v>689</v>
      </c>
      <c r="B709" s="124">
        <f t="shared" si="31"/>
        <v>0</v>
      </c>
      <c r="G709" s="124" t="str">
        <f t="shared" si="30"/>
        <v>L709</v>
      </c>
    </row>
    <row r="710" spans="1:7" x14ac:dyDescent="0.2">
      <c r="A710" s="129">
        <v>690</v>
      </c>
      <c r="B710" s="124">
        <f t="shared" si="31"/>
        <v>0</v>
      </c>
      <c r="G710" s="124" t="str">
        <f t="shared" si="30"/>
        <v>L710</v>
      </c>
    </row>
    <row r="711" spans="1:7" x14ac:dyDescent="0.2">
      <c r="A711" s="129">
        <v>691</v>
      </c>
      <c r="B711" s="124">
        <f t="shared" si="31"/>
        <v>0</v>
      </c>
      <c r="G711" s="124" t="str">
        <f t="shared" si="30"/>
        <v>L711</v>
      </c>
    </row>
    <row r="712" spans="1:7" x14ac:dyDescent="0.2">
      <c r="A712" s="129">
        <v>692</v>
      </c>
      <c r="B712" s="124">
        <f t="shared" si="31"/>
        <v>0</v>
      </c>
      <c r="G712" s="124" t="str">
        <f t="shared" si="30"/>
        <v>L712</v>
      </c>
    </row>
    <row r="713" spans="1:7" x14ac:dyDescent="0.2">
      <c r="A713" s="129">
        <v>693</v>
      </c>
      <c r="B713" s="124">
        <f t="shared" si="31"/>
        <v>0</v>
      </c>
      <c r="G713" s="124" t="str">
        <f t="shared" si="30"/>
        <v>L713</v>
      </c>
    </row>
    <row r="714" spans="1:7" x14ac:dyDescent="0.2">
      <c r="A714" s="129">
        <v>694</v>
      </c>
      <c r="B714" s="124">
        <f t="shared" si="31"/>
        <v>0</v>
      </c>
      <c r="G714" s="124" t="str">
        <f t="shared" si="30"/>
        <v>L714</v>
      </c>
    </row>
    <row r="715" spans="1:7" x14ac:dyDescent="0.2">
      <c r="A715" s="129">
        <v>695</v>
      </c>
      <c r="B715" s="124">
        <f t="shared" si="31"/>
        <v>0</v>
      </c>
      <c r="G715" s="124" t="str">
        <f t="shared" si="30"/>
        <v>L715</v>
      </c>
    </row>
    <row r="716" spans="1:7" x14ac:dyDescent="0.2">
      <c r="A716" s="129">
        <v>696</v>
      </c>
      <c r="B716" s="124">
        <f t="shared" si="31"/>
        <v>0</v>
      </c>
      <c r="G716" s="124" t="str">
        <f t="shared" si="30"/>
        <v>L716</v>
      </c>
    </row>
    <row r="717" spans="1:7" x14ac:dyDescent="0.2">
      <c r="A717" s="129">
        <v>697</v>
      </c>
      <c r="B717" s="124">
        <f t="shared" si="31"/>
        <v>0</v>
      </c>
      <c r="G717" s="124" t="str">
        <f t="shared" si="30"/>
        <v>L717</v>
      </c>
    </row>
    <row r="718" spans="1:7" x14ac:dyDescent="0.2">
      <c r="A718" s="129">
        <v>698</v>
      </c>
      <c r="B718" s="124">
        <f t="shared" si="31"/>
        <v>0</v>
      </c>
      <c r="G718" s="124" t="str">
        <f t="shared" si="30"/>
        <v>L718</v>
      </c>
    </row>
    <row r="719" spans="1:7" x14ac:dyDescent="0.2">
      <c r="A719" s="129">
        <v>699</v>
      </c>
      <c r="B719" s="124">
        <f t="shared" si="31"/>
        <v>0</v>
      </c>
      <c r="G719" s="124" t="str">
        <f t="shared" si="30"/>
        <v>L719</v>
      </c>
    </row>
    <row r="720" spans="1:7" x14ac:dyDescent="0.2">
      <c r="A720" s="129">
        <v>700</v>
      </c>
      <c r="B720" s="124">
        <f t="shared" si="31"/>
        <v>0</v>
      </c>
      <c r="G720" s="124" t="str">
        <f t="shared" si="30"/>
        <v>L720</v>
      </c>
    </row>
    <row r="721" spans="1:7" x14ac:dyDescent="0.2">
      <c r="A721" s="129">
        <v>701</v>
      </c>
      <c r="B721" s="124">
        <f t="shared" si="31"/>
        <v>0</v>
      </c>
      <c r="G721" s="124" t="str">
        <f t="shared" si="30"/>
        <v>L721</v>
      </c>
    </row>
    <row r="722" spans="1:7" x14ac:dyDescent="0.2">
      <c r="A722" s="129">
        <v>702</v>
      </c>
      <c r="B722" s="124">
        <f t="shared" si="31"/>
        <v>0</v>
      </c>
      <c r="G722" s="124" t="str">
        <f t="shared" si="30"/>
        <v>L722</v>
      </c>
    </row>
    <row r="723" spans="1:7" x14ac:dyDescent="0.2">
      <c r="A723" s="129">
        <v>703</v>
      </c>
      <c r="B723" s="124">
        <f t="shared" si="31"/>
        <v>0</v>
      </c>
      <c r="G723" s="124" t="str">
        <f t="shared" si="30"/>
        <v>L723</v>
      </c>
    </row>
    <row r="724" spans="1:7" x14ac:dyDescent="0.2">
      <c r="A724" s="129">
        <v>704</v>
      </c>
      <c r="B724" s="124">
        <f t="shared" si="31"/>
        <v>0</v>
      </c>
      <c r="G724" s="124" t="str">
        <f t="shared" si="30"/>
        <v>L724</v>
      </c>
    </row>
    <row r="725" spans="1:7" x14ac:dyDescent="0.2">
      <c r="A725" s="129">
        <v>705</v>
      </c>
      <c r="B725" s="124">
        <f t="shared" si="31"/>
        <v>0</v>
      </c>
      <c r="G725" s="124" t="str">
        <f t="shared" si="30"/>
        <v>L725</v>
      </c>
    </row>
    <row r="726" spans="1:7" x14ac:dyDescent="0.2">
      <c r="A726" s="129">
        <v>706</v>
      </c>
      <c r="B726" s="124">
        <f t="shared" si="31"/>
        <v>0</v>
      </c>
      <c r="G726" s="124" t="str">
        <f t="shared" si="30"/>
        <v>L726</v>
      </c>
    </row>
    <row r="727" spans="1:7" x14ac:dyDescent="0.2">
      <c r="A727" s="129">
        <v>707</v>
      </c>
      <c r="B727" s="124">
        <f t="shared" si="31"/>
        <v>0</v>
      </c>
      <c r="G727" s="124" t="str">
        <f t="shared" si="30"/>
        <v>L727</v>
      </c>
    </row>
    <row r="728" spans="1:7" x14ac:dyDescent="0.2">
      <c r="A728" s="129">
        <v>708</v>
      </c>
      <c r="B728" s="124">
        <f t="shared" si="31"/>
        <v>0</v>
      </c>
      <c r="G728" s="124" t="str">
        <f t="shared" si="30"/>
        <v>L728</v>
      </c>
    </row>
    <row r="729" spans="1:7" x14ac:dyDescent="0.2">
      <c r="A729" s="129">
        <v>709</v>
      </c>
      <c r="B729" s="124">
        <f t="shared" si="31"/>
        <v>0</v>
      </c>
      <c r="G729" s="124" t="str">
        <f t="shared" ref="G729:G792" si="32">"L"&amp;ROW()</f>
        <v>L729</v>
      </c>
    </row>
    <row r="730" spans="1:7" x14ac:dyDescent="0.2">
      <c r="A730" s="129">
        <v>710</v>
      </c>
      <c r="B730" s="124">
        <f t="shared" si="31"/>
        <v>0</v>
      </c>
      <c r="G730" s="124" t="str">
        <f t="shared" si="32"/>
        <v>L730</v>
      </c>
    </row>
    <row r="731" spans="1:7" x14ac:dyDescent="0.2">
      <c r="A731" s="129">
        <v>711</v>
      </c>
      <c r="B731" s="124">
        <f t="shared" si="31"/>
        <v>0</v>
      </c>
      <c r="G731" s="124" t="str">
        <f t="shared" si="32"/>
        <v>L731</v>
      </c>
    </row>
    <row r="732" spans="1:7" x14ac:dyDescent="0.2">
      <c r="A732" s="129">
        <v>712</v>
      </c>
      <c r="B732" s="124">
        <f t="shared" si="31"/>
        <v>0</v>
      </c>
      <c r="G732" s="124" t="str">
        <f t="shared" si="32"/>
        <v>L732</v>
      </c>
    </row>
    <row r="733" spans="1:7" x14ac:dyDescent="0.2">
      <c r="A733" s="129">
        <v>713</v>
      </c>
      <c r="B733" s="124">
        <f t="shared" si="31"/>
        <v>0</v>
      </c>
      <c r="G733" s="124" t="str">
        <f t="shared" si="32"/>
        <v>L733</v>
      </c>
    </row>
    <row r="734" spans="1:7" x14ac:dyDescent="0.2">
      <c r="A734" s="129">
        <v>714</v>
      </c>
      <c r="B734" s="124">
        <f t="shared" si="31"/>
        <v>0</v>
      </c>
      <c r="G734" s="124" t="str">
        <f t="shared" si="32"/>
        <v>L734</v>
      </c>
    </row>
    <row r="735" spans="1:7" x14ac:dyDescent="0.2">
      <c r="A735" s="129">
        <v>715</v>
      </c>
      <c r="B735" s="124">
        <f t="shared" si="31"/>
        <v>0</v>
      </c>
      <c r="G735" s="124" t="str">
        <f t="shared" si="32"/>
        <v>L735</v>
      </c>
    </row>
    <row r="736" spans="1:7" x14ac:dyDescent="0.2">
      <c r="A736" s="129">
        <v>716</v>
      </c>
      <c r="B736" s="124">
        <f t="shared" si="31"/>
        <v>0</v>
      </c>
      <c r="G736" s="124" t="str">
        <f t="shared" si="32"/>
        <v>L736</v>
      </c>
    </row>
    <row r="737" spans="1:7" x14ac:dyDescent="0.2">
      <c r="A737" s="129">
        <v>717</v>
      </c>
      <c r="B737" s="124">
        <f t="shared" si="31"/>
        <v>0</v>
      </c>
      <c r="G737" s="124" t="str">
        <f t="shared" si="32"/>
        <v>L737</v>
      </c>
    </row>
    <row r="738" spans="1:7" x14ac:dyDescent="0.2">
      <c r="A738" s="129">
        <v>718</v>
      </c>
      <c r="B738" s="124">
        <f t="shared" si="31"/>
        <v>0</v>
      </c>
      <c r="G738" s="124" t="str">
        <f t="shared" si="32"/>
        <v>L738</v>
      </c>
    </row>
    <row r="739" spans="1:7" x14ac:dyDescent="0.2">
      <c r="A739" s="129">
        <v>719</v>
      </c>
      <c r="B739" s="124">
        <f t="shared" si="31"/>
        <v>0</v>
      </c>
      <c r="G739" s="124" t="str">
        <f t="shared" si="32"/>
        <v>L739</v>
      </c>
    </row>
    <row r="740" spans="1:7" x14ac:dyDescent="0.2">
      <c r="A740" s="129">
        <v>720</v>
      </c>
      <c r="B740" s="124">
        <f t="shared" si="31"/>
        <v>0</v>
      </c>
      <c r="G740" s="124" t="str">
        <f t="shared" si="32"/>
        <v>L740</v>
      </c>
    </row>
    <row r="741" spans="1:7" x14ac:dyDescent="0.2">
      <c r="A741" s="129">
        <v>721</v>
      </c>
      <c r="B741" s="124">
        <f t="shared" si="31"/>
        <v>0</v>
      </c>
      <c r="G741" s="124" t="str">
        <f t="shared" si="32"/>
        <v>L741</v>
      </c>
    </row>
    <row r="742" spans="1:7" x14ac:dyDescent="0.2">
      <c r="A742" s="129">
        <v>722</v>
      </c>
      <c r="B742" s="124">
        <f t="shared" si="31"/>
        <v>0</v>
      </c>
      <c r="G742" s="124" t="str">
        <f t="shared" si="32"/>
        <v>L742</v>
      </c>
    </row>
    <row r="743" spans="1:7" x14ac:dyDescent="0.2">
      <c r="A743" s="129">
        <v>723</v>
      </c>
      <c r="B743" s="124">
        <f t="shared" si="31"/>
        <v>0</v>
      </c>
      <c r="G743" s="124" t="str">
        <f t="shared" si="32"/>
        <v>L743</v>
      </c>
    </row>
    <row r="744" spans="1:7" x14ac:dyDescent="0.2">
      <c r="A744" s="129">
        <v>724</v>
      </c>
      <c r="B744" s="124">
        <f t="shared" si="31"/>
        <v>0</v>
      </c>
      <c r="G744" s="124" t="str">
        <f t="shared" si="32"/>
        <v>L744</v>
      </c>
    </row>
    <row r="745" spans="1:7" x14ac:dyDescent="0.2">
      <c r="A745" s="129">
        <v>725</v>
      </c>
      <c r="B745" s="124">
        <f t="shared" si="31"/>
        <v>0</v>
      </c>
      <c r="G745" s="124" t="str">
        <f t="shared" si="32"/>
        <v>L745</v>
      </c>
    </row>
    <row r="746" spans="1:7" x14ac:dyDescent="0.2">
      <c r="A746" s="129">
        <v>726</v>
      </c>
      <c r="B746" s="124">
        <f t="shared" si="31"/>
        <v>0</v>
      </c>
      <c r="G746" s="124" t="str">
        <f t="shared" si="32"/>
        <v>L746</v>
      </c>
    </row>
    <row r="747" spans="1:7" x14ac:dyDescent="0.2">
      <c r="A747" s="129">
        <v>727</v>
      </c>
      <c r="B747" s="124">
        <f t="shared" si="31"/>
        <v>0</v>
      </c>
      <c r="G747" s="124" t="str">
        <f t="shared" si="32"/>
        <v>L747</v>
      </c>
    </row>
    <row r="748" spans="1:7" x14ac:dyDescent="0.2">
      <c r="A748" s="129">
        <v>728</v>
      </c>
      <c r="B748" s="124">
        <f t="shared" si="31"/>
        <v>0</v>
      </c>
      <c r="G748" s="124" t="str">
        <f t="shared" si="32"/>
        <v>L748</v>
      </c>
    </row>
    <row r="749" spans="1:7" x14ac:dyDescent="0.2">
      <c r="A749" s="129">
        <v>729</v>
      </c>
      <c r="B749" s="124">
        <f t="shared" si="31"/>
        <v>0</v>
      </c>
      <c r="G749" s="124" t="str">
        <f t="shared" si="32"/>
        <v>L749</v>
      </c>
    </row>
    <row r="750" spans="1:7" x14ac:dyDescent="0.2">
      <c r="A750" s="129">
        <v>730</v>
      </c>
      <c r="B750" s="124">
        <f t="shared" si="31"/>
        <v>0</v>
      </c>
      <c r="G750" s="124" t="str">
        <f t="shared" si="32"/>
        <v>L750</v>
      </c>
    </row>
    <row r="751" spans="1:7" x14ac:dyDescent="0.2">
      <c r="A751" s="129">
        <v>731</v>
      </c>
      <c r="B751" s="124">
        <f t="shared" si="31"/>
        <v>0</v>
      </c>
      <c r="G751" s="124" t="str">
        <f t="shared" si="32"/>
        <v>L751</v>
      </c>
    </row>
    <row r="752" spans="1:7" x14ac:dyDescent="0.2">
      <c r="A752" s="129">
        <v>732</v>
      </c>
      <c r="B752" s="124">
        <f t="shared" si="31"/>
        <v>0</v>
      </c>
      <c r="G752" s="124" t="str">
        <f t="shared" si="32"/>
        <v>L752</v>
      </c>
    </row>
    <row r="753" spans="1:7" x14ac:dyDescent="0.2">
      <c r="A753" s="129">
        <v>733</v>
      </c>
      <c r="B753" s="124">
        <f t="shared" si="31"/>
        <v>0</v>
      </c>
      <c r="G753" s="124" t="str">
        <f t="shared" si="32"/>
        <v>L753</v>
      </c>
    </row>
    <row r="754" spans="1:7" x14ac:dyDescent="0.2">
      <c r="A754" s="129">
        <v>734</v>
      </c>
      <c r="B754" s="124">
        <f t="shared" si="31"/>
        <v>0</v>
      </c>
      <c r="G754" s="124" t="str">
        <f t="shared" si="32"/>
        <v>L754</v>
      </c>
    </row>
    <row r="755" spans="1:7" x14ac:dyDescent="0.2">
      <c r="A755" s="129">
        <v>735</v>
      </c>
      <c r="B755" s="124">
        <f t="shared" si="31"/>
        <v>0</v>
      </c>
      <c r="G755" s="124" t="str">
        <f t="shared" si="32"/>
        <v>L755</v>
      </c>
    </row>
    <row r="756" spans="1:7" x14ac:dyDescent="0.2">
      <c r="A756" s="129">
        <v>736</v>
      </c>
      <c r="B756" s="124">
        <f t="shared" si="31"/>
        <v>0</v>
      </c>
      <c r="G756" s="124" t="str">
        <f t="shared" si="32"/>
        <v>L756</v>
      </c>
    </row>
    <row r="757" spans="1:7" x14ac:dyDescent="0.2">
      <c r="A757" s="129">
        <v>737</v>
      </c>
      <c r="B757" s="124">
        <f t="shared" ref="B757:B820" si="33">HLOOKUP($B$13,$C$21:$G$820,A757,FALSE)</f>
        <v>0</v>
      </c>
      <c r="G757" s="124" t="str">
        <f t="shared" si="32"/>
        <v>L757</v>
      </c>
    </row>
    <row r="758" spans="1:7" x14ac:dyDescent="0.2">
      <c r="A758" s="129">
        <v>738</v>
      </c>
      <c r="B758" s="124">
        <f t="shared" si="33"/>
        <v>0</v>
      </c>
      <c r="G758" s="124" t="str">
        <f t="shared" si="32"/>
        <v>L758</v>
      </c>
    </row>
    <row r="759" spans="1:7" x14ac:dyDescent="0.2">
      <c r="A759" s="129">
        <v>739</v>
      </c>
      <c r="B759" s="124">
        <f t="shared" si="33"/>
        <v>0</v>
      </c>
      <c r="G759" s="124" t="str">
        <f t="shared" si="32"/>
        <v>L759</v>
      </c>
    </row>
    <row r="760" spans="1:7" x14ac:dyDescent="0.2">
      <c r="A760" s="129">
        <v>740</v>
      </c>
      <c r="B760" s="124">
        <f t="shared" si="33"/>
        <v>0</v>
      </c>
      <c r="G760" s="124" t="str">
        <f t="shared" si="32"/>
        <v>L760</v>
      </c>
    </row>
    <row r="761" spans="1:7" x14ac:dyDescent="0.2">
      <c r="A761" s="129">
        <v>741</v>
      </c>
      <c r="B761" s="124">
        <f t="shared" si="33"/>
        <v>0</v>
      </c>
      <c r="G761" s="124" t="str">
        <f t="shared" si="32"/>
        <v>L761</v>
      </c>
    </row>
    <row r="762" spans="1:7" x14ac:dyDescent="0.2">
      <c r="A762" s="129">
        <v>742</v>
      </c>
      <c r="B762" s="124">
        <f t="shared" si="33"/>
        <v>0</v>
      </c>
      <c r="G762" s="124" t="str">
        <f t="shared" si="32"/>
        <v>L762</v>
      </c>
    </row>
    <row r="763" spans="1:7" x14ac:dyDescent="0.2">
      <c r="A763" s="129">
        <v>743</v>
      </c>
      <c r="B763" s="124">
        <f t="shared" si="33"/>
        <v>0</v>
      </c>
      <c r="G763" s="124" t="str">
        <f t="shared" si="32"/>
        <v>L763</v>
      </c>
    </row>
    <row r="764" spans="1:7" x14ac:dyDescent="0.2">
      <c r="A764" s="129">
        <v>744</v>
      </c>
      <c r="B764" s="124">
        <f t="shared" si="33"/>
        <v>0</v>
      </c>
      <c r="G764" s="124" t="str">
        <f t="shared" si="32"/>
        <v>L764</v>
      </c>
    </row>
    <row r="765" spans="1:7" x14ac:dyDescent="0.2">
      <c r="A765" s="129">
        <v>745</v>
      </c>
      <c r="B765" s="124">
        <f t="shared" si="33"/>
        <v>0</v>
      </c>
      <c r="G765" s="124" t="str">
        <f t="shared" si="32"/>
        <v>L765</v>
      </c>
    </row>
    <row r="766" spans="1:7" x14ac:dyDescent="0.2">
      <c r="A766" s="129">
        <v>746</v>
      </c>
      <c r="B766" s="124">
        <f t="shared" si="33"/>
        <v>0</v>
      </c>
      <c r="G766" s="124" t="str">
        <f t="shared" si="32"/>
        <v>L766</v>
      </c>
    </row>
    <row r="767" spans="1:7" x14ac:dyDescent="0.2">
      <c r="A767" s="129">
        <v>747</v>
      </c>
      <c r="B767" s="124">
        <f t="shared" si="33"/>
        <v>0</v>
      </c>
      <c r="G767" s="124" t="str">
        <f t="shared" si="32"/>
        <v>L767</v>
      </c>
    </row>
    <row r="768" spans="1:7" x14ac:dyDescent="0.2">
      <c r="A768" s="129">
        <v>748</v>
      </c>
      <c r="B768" s="124">
        <f t="shared" si="33"/>
        <v>0</v>
      </c>
      <c r="G768" s="124" t="str">
        <f t="shared" si="32"/>
        <v>L768</v>
      </c>
    </row>
    <row r="769" spans="1:7" x14ac:dyDescent="0.2">
      <c r="A769" s="129">
        <v>749</v>
      </c>
      <c r="B769" s="124">
        <f t="shared" si="33"/>
        <v>0</v>
      </c>
      <c r="G769" s="124" t="str">
        <f t="shared" si="32"/>
        <v>L769</v>
      </c>
    </row>
    <row r="770" spans="1:7" x14ac:dyDescent="0.2">
      <c r="A770" s="129">
        <v>750</v>
      </c>
      <c r="B770" s="124">
        <f t="shared" si="33"/>
        <v>0</v>
      </c>
      <c r="G770" s="124" t="str">
        <f t="shared" si="32"/>
        <v>L770</v>
      </c>
    </row>
    <row r="771" spans="1:7" x14ac:dyDescent="0.2">
      <c r="A771" s="129">
        <v>751</v>
      </c>
      <c r="B771" s="124">
        <f t="shared" si="33"/>
        <v>0</v>
      </c>
      <c r="G771" s="124" t="str">
        <f t="shared" si="32"/>
        <v>L771</v>
      </c>
    </row>
    <row r="772" spans="1:7" x14ac:dyDescent="0.2">
      <c r="A772" s="129">
        <v>752</v>
      </c>
      <c r="B772" s="124">
        <f t="shared" si="33"/>
        <v>0</v>
      </c>
      <c r="G772" s="124" t="str">
        <f t="shared" si="32"/>
        <v>L772</v>
      </c>
    </row>
    <row r="773" spans="1:7" x14ac:dyDescent="0.2">
      <c r="A773" s="129">
        <v>753</v>
      </c>
      <c r="B773" s="124">
        <f t="shared" si="33"/>
        <v>0</v>
      </c>
      <c r="G773" s="124" t="str">
        <f t="shared" si="32"/>
        <v>L773</v>
      </c>
    </row>
    <row r="774" spans="1:7" x14ac:dyDescent="0.2">
      <c r="A774" s="129">
        <v>754</v>
      </c>
      <c r="B774" s="124">
        <f t="shared" si="33"/>
        <v>0</v>
      </c>
      <c r="G774" s="124" t="str">
        <f t="shared" si="32"/>
        <v>L774</v>
      </c>
    </row>
    <row r="775" spans="1:7" x14ac:dyDescent="0.2">
      <c r="A775" s="129">
        <v>755</v>
      </c>
      <c r="B775" s="124">
        <f t="shared" si="33"/>
        <v>0</v>
      </c>
      <c r="G775" s="124" t="str">
        <f t="shared" si="32"/>
        <v>L775</v>
      </c>
    </row>
    <row r="776" spans="1:7" x14ac:dyDescent="0.2">
      <c r="A776" s="129">
        <v>756</v>
      </c>
      <c r="B776" s="124">
        <f t="shared" si="33"/>
        <v>0</v>
      </c>
      <c r="G776" s="124" t="str">
        <f t="shared" si="32"/>
        <v>L776</v>
      </c>
    </row>
    <row r="777" spans="1:7" x14ac:dyDescent="0.2">
      <c r="A777" s="129">
        <v>757</v>
      </c>
      <c r="B777" s="124">
        <f t="shared" si="33"/>
        <v>0</v>
      </c>
      <c r="G777" s="124" t="str">
        <f t="shared" si="32"/>
        <v>L777</v>
      </c>
    </row>
    <row r="778" spans="1:7" x14ac:dyDescent="0.2">
      <c r="A778" s="129">
        <v>758</v>
      </c>
      <c r="B778" s="124">
        <f t="shared" si="33"/>
        <v>0</v>
      </c>
      <c r="G778" s="124" t="str">
        <f t="shared" si="32"/>
        <v>L778</v>
      </c>
    </row>
    <row r="779" spans="1:7" x14ac:dyDescent="0.2">
      <c r="A779" s="129">
        <v>759</v>
      </c>
      <c r="B779" s="124">
        <f t="shared" si="33"/>
        <v>0</v>
      </c>
      <c r="G779" s="124" t="str">
        <f t="shared" si="32"/>
        <v>L779</v>
      </c>
    </row>
    <row r="780" spans="1:7" x14ac:dyDescent="0.2">
      <c r="A780" s="129">
        <v>760</v>
      </c>
      <c r="B780" s="124">
        <f t="shared" si="33"/>
        <v>0</v>
      </c>
      <c r="G780" s="124" t="str">
        <f t="shared" si="32"/>
        <v>L780</v>
      </c>
    </row>
    <row r="781" spans="1:7" x14ac:dyDescent="0.2">
      <c r="A781" s="129">
        <v>761</v>
      </c>
      <c r="B781" s="124">
        <f t="shared" si="33"/>
        <v>0</v>
      </c>
      <c r="G781" s="124" t="str">
        <f t="shared" si="32"/>
        <v>L781</v>
      </c>
    </row>
    <row r="782" spans="1:7" x14ac:dyDescent="0.2">
      <c r="A782" s="129">
        <v>762</v>
      </c>
      <c r="B782" s="124">
        <f t="shared" si="33"/>
        <v>0</v>
      </c>
      <c r="G782" s="124" t="str">
        <f t="shared" si="32"/>
        <v>L782</v>
      </c>
    </row>
    <row r="783" spans="1:7" x14ac:dyDescent="0.2">
      <c r="A783" s="129">
        <v>763</v>
      </c>
      <c r="B783" s="124">
        <f t="shared" si="33"/>
        <v>0</v>
      </c>
      <c r="G783" s="124" t="str">
        <f t="shared" si="32"/>
        <v>L783</v>
      </c>
    </row>
    <row r="784" spans="1:7" x14ac:dyDescent="0.2">
      <c r="A784" s="129">
        <v>764</v>
      </c>
      <c r="B784" s="124">
        <f t="shared" si="33"/>
        <v>0</v>
      </c>
      <c r="G784" s="124" t="str">
        <f t="shared" si="32"/>
        <v>L784</v>
      </c>
    </row>
    <row r="785" spans="1:7" x14ac:dyDescent="0.2">
      <c r="A785" s="129">
        <v>765</v>
      </c>
      <c r="B785" s="124">
        <f t="shared" si="33"/>
        <v>0</v>
      </c>
      <c r="G785" s="124" t="str">
        <f t="shared" si="32"/>
        <v>L785</v>
      </c>
    </row>
    <row r="786" spans="1:7" x14ac:dyDescent="0.2">
      <c r="A786" s="129">
        <v>766</v>
      </c>
      <c r="B786" s="124">
        <f t="shared" si="33"/>
        <v>0</v>
      </c>
      <c r="G786" s="124" t="str">
        <f t="shared" si="32"/>
        <v>L786</v>
      </c>
    </row>
    <row r="787" spans="1:7" x14ac:dyDescent="0.2">
      <c r="A787" s="129">
        <v>767</v>
      </c>
      <c r="B787" s="124">
        <f t="shared" si="33"/>
        <v>0</v>
      </c>
      <c r="G787" s="124" t="str">
        <f t="shared" si="32"/>
        <v>L787</v>
      </c>
    </row>
    <row r="788" spans="1:7" x14ac:dyDescent="0.2">
      <c r="A788" s="129">
        <v>768</v>
      </c>
      <c r="B788" s="124">
        <f t="shared" si="33"/>
        <v>0</v>
      </c>
      <c r="G788" s="124" t="str">
        <f t="shared" si="32"/>
        <v>L788</v>
      </c>
    </row>
    <row r="789" spans="1:7" x14ac:dyDescent="0.2">
      <c r="A789" s="129">
        <v>769</v>
      </c>
      <c r="B789" s="124">
        <f t="shared" si="33"/>
        <v>0</v>
      </c>
      <c r="G789" s="124" t="str">
        <f t="shared" si="32"/>
        <v>L789</v>
      </c>
    </row>
    <row r="790" spans="1:7" x14ac:dyDescent="0.2">
      <c r="A790" s="129">
        <v>770</v>
      </c>
      <c r="B790" s="124">
        <f t="shared" si="33"/>
        <v>0</v>
      </c>
      <c r="G790" s="124" t="str">
        <f t="shared" si="32"/>
        <v>L790</v>
      </c>
    </row>
    <row r="791" spans="1:7" x14ac:dyDescent="0.2">
      <c r="A791" s="129">
        <v>771</v>
      </c>
      <c r="B791" s="124">
        <f t="shared" si="33"/>
        <v>0</v>
      </c>
      <c r="G791" s="124" t="str">
        <f t="shared" si="32"/>
        <v>L791</v>
      </c>
    </row>
    <row r="792" spans="1:7" x14ac:dyDescent="0.2">
      <c r="A792" s="129">
        <v>772</v>
      </c>
      <c r="B792" s="124">
        <f t="shared" si="33"/>
        <v>0</v>
      </c>
      <c r="G792" s="124" t="str">
        <f t="shared" si="32"/>
        <v>L792</v>
      </c>
    </row>
    <row r="793" spans="1:7" x14ac:dyDescent="0.2">
      <c r="A793" s="129">
        <v>773</v>
      </c>
      <c r="B793" s="124">
        <f t="shared" si="33"/>
        <v>0</v>
      </c>
      <c r="G793" s="124" t="str">
        <f t="shared" ref="G793:G820" si="34">"L"&amp;ROW()</f>
        <v>L793</v>
      </c>
    </row>
    <row r="794" spans="1:7" x14ac:dyDescent="0.2">
      <c r="A794" s="129">
        <v>774</v>
      </c>
      <c r="B794" s="124">
        <f t="shared" si="33"/>
        <v>0</v>
      </c>
      <c r="G794" s="124" t="str">
        <f t="shared" si="34"/>
        <v>L794</v>
      </c>
    </row>
    <row r="795" spans="1:7" x14ac:dyDescent="0.2">
      <c r="A795" s="129">
        <v>775</v>
      </c>
      <c r="B795" s="124">
        <f t="shared" si="33"/>
        <v>0</v>
      </c>
      <c r="G795" s="124" t="str">
        <f t="shared" si="34"/>
        <v>L795</v>
      </c>
    </row>
    <row r="796" spans="1:7" x14ac:dyDescent="0.2">
      <c r="A796" s="129">
        <v>776</v>
      </c>
      <c r="B796" s="124">
        <f t="shared" si="33"/>
        <v>0</v>
      </c>
      <c r="G796" s="124" t="str">
        <f t="shared" si="34"/>
        <v>L796</v>
      </c>
    </row>
    <row r="797" spans="1:7" x14ac:dyDescent="0.2">
      <c r="A797" s="129">
        <v>777</v>
      </c>
      <c r="B797" s="124">
        <f t="shared" si="33"/>
        <v>0</v>
      </c>
      <c r="G797" s="124" t="str">
        <f t="shared" si="34"/>
        <v>L797</v>
      </c>
    </row>
    <row r="798" spans="1:7" x14ac:dyDescent="0.2">
      <c r="A798" s="129">
        <v>778</v>
      </c>
      <c r="B798" s="124">
        <f t="shared" si="33"/>
        <v>0</v>
      </c>
      <c r="G798" s="124" t="str">
        <f t="shared" si="34"/>
        <v>L798</v>
      </c>
    </row>
    <row r="799" spans="1:7" x14ac:dyDescent="0.2">
      <c r="A799" s="129">
        <v>779</v>
      </c>
      <c r="B799" s="124">
        <f t="shared" si="33"/>
        <v>0</v>
      </c>
      <c r="G799" s="124" t="str">
        <f t="shared" si="34"/>
        <v>L799</v>
      </c>
    </row>
    <row r="800" spans="1:7" x14ac:dyDescent="0.2">
      <c r="A800" s="129">
        <v>780</v>
      </c>
      <c r="B800" s="124">
        <f t="shared" si="33"/>
        <v>0</v>
      </c>
      <c r="G800" s="124" t="str">
        <f t="shared" si="34"/>
        <v>L800</v>
      </c>
    </row>
    <row r="801" spans="1:7" x14ac:dyDescent="0.2">
      <c r="A801" s="129">
        <v>781</v>
      </c>
      <c r="B801" s="124">
        <f t="shared" si="33"/>
        <v>0</v>
      </c>
      <c r="G801" s="124" t="str">
        <f t="shared" si="34"/>
        <v>L801</v>
      </c>
    </row>
    <row r="802" spans="1:7" x14ac:dyDescent="0.2">
      <c r="A802" s="129">
        <v>782</v>
      </c>
      <c r="B802" s="124">
        <f t="shared" si="33"/>
        <v>0</v>
      </c>
      <c r="G802" s="124" t="str">
        <f t="shared" si="34"/>
        <v>L802</v>
      </c>
    </row>
    <row r="803" spans="1:7" x14ac:dyDescent="0.2">
      <c r="A803" s="129">
        <v>783</v>
      </c>
      <c r="B803" s="124">
        <f t="shared" si="33"/>
        <v>0</v>
      </c>
      <c r="G803" s="124" t="str">
        <f t="shared" si="34"/>
        <v>L803</v>
      </c>
    </row>
    <row r="804" spans="1:7" x14ac:dyDescent="0.2">
      <c r="A804" s="129">
        <v>784</v>
      </c>
      <c r="B804" s="124">
        <f t="shared" si="33"/>
        <v>0</v>
      </c>
      <c r="G804" s="124" t="str">
        <f t="shared" si="34"/>
        <v>L804</v>
      </c>
    </row>
    <row r="805" spans="1:7" x14ac:dyDescent="0.2">
      <c r="A805" s="129">
        <v>785</v>
      </c>
      <c r="B805" s="124">
        <f t="shared" si="33"/>
        <v>0</v>
      </c>
      <c r="G805" s="124" t="str">
        <f t="shared" si="34"/>
        <v>L805</v>
      </c>
    </row>
    <row r="806" spans="1:7" x14ac:dyDescent="0.2">
      <c r="A806" s="129">
        <v>786</v>
      </c>
      <c r="B806" s="124">
        <f t="shared" si="33"/>
        <v>0</v>
      </c>
      <c r="G806" s="124" t="str">
        <f t="shared" si="34"/>
        <v>L806</v>
      </c>
    </row>
    <row r="807" spans="1:7" x14ac:dyDescent="0.2">
      <c r="A807" s="129">
        <v>787</v>
      </c>
      <c r="B807" s="124">
        <f t="shared" si="33"/>
        <v>0</v>
      </c>
      <c r="G807" s="124" t="str">
        <f t="shared" si="34"/>
        <v>L807</v>
      </c>
    </row>
    <row r="808" spans="1:7" x14ac:dyDescent="0.2">
      <c r="A808" s="129">
        <v>788</v>
      </c>
      <c r="B808" s="124">
        <f t="shared" si="33"/>
        <v>0</v>
      </c>
      <c r="G808" s="124" t="str">
        <f t="shared" si="34"/>
        <v>L808</v>
      </c>
    </row>
    <row r="809" spans="1:7" x14ac:dyDescent="0.2">
      <c r="A809" s="129">
        <v>789</v>
      </c>
      <c r="B809" s="124">
        <f t="shared" si="33"/>
        <v>0</v>
      </c>
      <c r="G809" s="124" t="str">
        <f t="shared" si="34"/>
        <v>L809</v>
      </c>
    </row>
    <row r="810" spans="1:7" x14ac:dyDescent="0.2">
      <c r="A810" s="129">
        <v>790</v>
      </c>
      <c r="B810" s="124">
        <f t="shared" si="33"/>
        <v>0</v>
      </c>
      <c r="G810" s="124" t="str">
        <f t="shared" si="34"/>
        <v>L810</v>
      </c>
    </row>
    <row r="811" spans="1:7" x14ac:dyDescent="0.2">
      <c r="A811" s="129">
        <v>791</v>
      </c>
      <c r="B811" s="124">
        <f t="shared" si="33"/>
        <v>0</v>
      </c>
      <c r="G811" s="124" t="str">
        <f t="shared" si="34"/>
        <v>L811</v>
      </c>
    </row>
    <row r="812" spans="1:7" x14ac:dyDescent="0.2">
      <c r="A812" s="129">
        <v>792</v>
      </c>
      <c r="B812" s="124">
        <f t="shared" si="33"/>
        <v>0</v>
      </c>
      <c r="G812" s="124" t="str">
        <f t="shared" si="34"/>
        <v>L812</v>
      </c>
    </row>
    <row r="813" spans="1:7" x14ac:dyDescent="0.2">
      <c r="A813" s="129">
        <v>793</v>
      </c>
      <c r="B813" s="124">
        <f t="shared" si="33"/>
        <v>0</v>
      </c>
      <c r="G813" s="124" t="str">
        <f t="shared" si="34"/>
        <v>L813</v>
      </c>
    </row>
    <row r="814" spans="1:7" x14ac:dyDescent="0.2">
      <c r="A814" s="129">
        <v>794</v>
      </c>
      <c r="B814" s="124">
        <f t="shared" si="33"/>
        <v>0</v>
      </c>
      <c r="G814" s="124" t="str">
        <f t="shared" si="34"/>
        <v>L814</v>
      </c>
    </row>
    <row r="815" spans="1:7" x14ac:dyDescent="0.2">
      <c r="A815" s="129">
        <v>795</v>
      </c>
      <c r="B815" s="124">
        <f t="shared" si="33"/>
        <v>0</v>
      </c>
      <c r="G815" s="124" t="str">
        <f t="shared" si="34"/>
        <v>L815</v>
      </c>
    </row>
    <row r="816" spans="1:7" x14ac:dyDescent="0.2">
      <c r="A816" s="129">
        <v>796</v>
      </c>
      <c r="B816" s="124">
        <f t="shared" si="33"/>
        <v>0</v>
      </c>
      <c r="G816" s="124" t="str">
        <f t="shared" si="34"/>
        <v>L816</v>
      </c>
    </row>
    <row r="817" spans="1:7" x14ac:dyDescent="0.2">
      <c r="A817" s="129">
        <v>797</v>
      </c>
      <c r="B817" s="124">
        <f t="shared" si="33"/>
        <v>0</v>
      </c>
      <c r="G817" s="124" t="str">
        <f t="shared" si="34"/>
        <v>L817</v>
      </c>
    </row>
    <row r="818" spans="1:7" x14ac:dyDescent="0.2">
      <c r="A818" s="129">
        <v>798</v>
      </c>
      <c r="B818" s="124">
        <f t="shared" si="33"/>
        <v>0</v>
      </c>
      <c r="G818" s="124" t="str">
        <f t="shared" si="34"/>
        <v>L818</v>
      </c>
    </row>
    <row r="819" spans="1:7" x14ac:dyDescent="0.2">
      <c r="A819" s="129">
        <v>799</v>
      </c>
      <c r="B819" s="124">
        <f t="shared" si="33"/>
        <v>0</v>
      </c>
      <c r="G819" s="124" t="str">
        <f t="shared" si="34"/>
        <v>L819</v>
      </c>
    </row>
    <row r="820" spans="1:7" x14ac:dyDescent="0.2">
      <c r="A820" s="129">
        <v>800</v>
      </c>
      <c r="B820" s="124">
        <f t="shared" si="33"/>
        <v>0</v>
      </c>
      <c r="G820" s="124" t="str">
        <f t="shared" si="34"/>
        <v>L820</v>
      </c>
    </row>
  </sheetData>
  <sheetProtection algorithmName="SHA-512" hashValue="aKFT/K5tMU/+UoLfVbJvQAyHjF/GxdLE2EhLykBze7+iP0llA2UODxvyg+N6NEnJpX3PE7i3yJBgnwUAhSbPUA==" saltValue="5Z+iARqPVHb1Zo6jR0tAxw==" spinCount="100000" sheet="1" objects="1" scenarios="1"/>
  <customSheetViews>
    <customSheetView guid="{F5BF5DFB-87FE-4DF9-9E82-BEE316A1D433}">
      <selection activeCell="B14" sqref="B14"/>
      <pageMargins left="0" right="0" top="0" bottom="0" header="0" footer="0"/>
    </customSheetView>
    <customSheetView guid="{AAA4D533-36AC-4D9A-85F4-EB15BCAB43D6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usersetup">
    <tabColor rgb="FF0070C0"/>
    <pageSetUpPr autoPageBreaks="0" fitToPage="1"/>
  </sheetPr>
  <dimension ref="A1:AG68"/>
  <sheetViews>
    <sheetView showGridLines="0" topLeftCell="A5" zoomScaleNormal="100" workbookViewId="0">
      <selection activeCell="AI23" sqref="AI23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3" ht="53.45" customHeight="1" x14ac:dyDescent="0.2">
      <c r="B1" s="96" t="str">
        <f>H_Label!$B$29</f>
        <v>Arbeitszeitkontrolle SMGV - Basisblatt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690">
        <f>Admin_Konfig!$V$8</f>
        <v>45292</v>
      </c>
      <c r="V1" s="690"/>
      <c r="W1" s="690"/>
      <c r="X1" s="690"/>
      <c r="Y1" s="97"/>
      <c r="Z1" s="97"/>
      <c r="AA1" s="97"/>
      <c r="AB1" s="97"/>
      <c r="AC1" s="97"/>
      <c r="AD1" s="97"/>
      <c r="AE1" s="97"/>
      <c r="AF1" s="97"/>
      <c r="AG1" s="97"/>
    </row>
    <row r="2" spans="2:33" ht="23.45" customHeight="1" x14ac:dyDescent="0.2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</row>
    <row r="3" spans="2:33" s="38" customFormat="1" ht="20.45" customHeight="1" x14ac:dyDescent="0.2">
      <c r="B3" s="98" t="str">
        <f>H_Label!$B$100</f>
        <v>Firma</v>
      </c>
      <c r="C3" s="99"/>
      <c r="D3" s="99"/>
      <c r="E3" s="99"/>
      <c r="F3" s="99"/>
      <c r="G3" s="694" t="str">
        <f>H_Label!B162</f>
        <v>Maler Muster GmbH</v>
      </c>
      <c r="H3" s="695"/>
      <c r="I3" s="695"/>
      <c r="J3" s="695"/>
      <c r="K3" s="695"/>
      <c r="L3" s="695"/>
      <c r="M3" s="695"/>
      <c r="N3" s="695"/>
      <c r="O3" s="696"/>
      <c r="P3" s="99"/>
      <c r="Q3" s="99"/>
      <c r="AB3" s="99"/>
      <c r="AC3" s="99"/>
      <c r="AD3" s="99"/>
      <c r="AE3" s="99"/>
      <c r="AF3" s="99"/>
      <c r="AG3" s="99"/>
    </row>
    <row r="4" spans="2:33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AB4" s="97"/>
      <c r="AC4" s="97"/>
      <c r="AD4" s="97"/>
      <c r="AE4" s="97"/>
      <c r="AF4" s="97"/>
      <c r="AG4" s="97"/>
    </row>
    <row r="5" spans="2:33" x14ac:dyDescent="0.2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2:33" s="38" customFormat="1" ht="20.45" customHeight="1" x14ac:dyDescent="0.2">
      <c r="B6" s="98" t="str">
        <f>H_Label!$B$101</f>
        <v>Mitarbeiter:in</v>
      </c>
      <c r="C6" s="99"/>
      <c r="D6" s="99"/>
      <c r="E6" s="99"/>
      <c r="F6" s="99"/>
      <c r="G6" s="681" t="str">
        <f>H_Label!B165</f>
        <v>Maximilian Muster</v>
      </c>
      <c r="H6" s="697"/>
      <c r="I6" s="697"/>
      <c r="J6" s="697"/>
      <c r="K6" s="697"/>
      <c r="L6" s="697"/>
      <c r="M6" s="697"/>
      <c r="N6" s="697"/>
      <c r="O6" s="698"/>
      <c r="Q6" s="681" t="str">
        <f>H_Label!B168</f>
        <v>Strasse Nr</v>
      </c>
      <c r="R6" s="697"/>
      <c r="S6" s="697"/>
      <c r="T6" s="697"/>
      <c r="U6" s="697"/>
      <c r="V6" s="697"/>
      <c r="W6" s="697"/>
      <c r="X6" s="697"/>
      <c r="Y6" s="698"/>
      <c r="AA6" s="681" t="str">
        <f>H_Label!B172</f>
        <v>Telefon</v>
      </c>
      <c r="AB6" s="682"/>
      <c r="AC6" s="682"/>
      <c r="AD6" s="682"/>
      <c r="AE6" s="682"/>
      <c r="AF6" s="682"/>
      <c r="AG6" s="683"/>
    </row>
    <row r="7" spans="2:33" s="38" customFormat="1" ht="20.45" customHeight="1" x14ac:dyDescent="0.2">
      <c r="B7" s="98"/>
      <c r="C7" s="99"/>
      <c r="D7" s="99"/>
      <c r="E7" s="99"/>
      <c r="F7" s="99"/>
      <c r="N7" s="99"/>
      <c r="Q7" s="681" t="str">
        <f>H_Label!B169</f>
        <v>PLZ Ort</v>
      </c>
      <c r="R7" s="697"/>
      <c r="S7" s="697"/>
      <c r="T7" s="697"/>
      <c r="U7" s="697"/>
      <c r="V7" s="697"/>
      <c r="W7" s="697"/>
      <c r="X7" s="697"/>
      <c r="Y7" s="698"/>
      <c r="AA7" s="681" t="str">
        <f>H_Label!B173</f>
        <v>E-Mail</v>
      </c>
      <c r="AB7" s="682"/>
      <c r="AC7" s="682"/>
      <c r="AD7" s="682"/>
      <c r="AE7" s="682"/>
      <c r="AF7" s="682"/>
      <c r="AG7" s="683"/>
    </row>
    <row r="8" spans="2:33" s="38" customFormat="1" ht="20.45" customHeight="1" x14ac:dyDescent="0.2">
      <c r="B8" s="98"/>
      <c r="C8" s="99"/>
      <c r="D8" s="99"/>
      <c r="E8" s="99"/>
      <c r="F8" s="99"/>
      <c r="N8" s="99"/>
      <c r="O8" s="304"/>
      <c r="P8" s="304"/>
      <c r="Q8" s="305"/>
      <c r="R8" s="305"/>
      <c r="S8" s="305"/>
      <c r="T8" s="305"/>
      <c r="U8" s="305"/>
      <c r="V8" s="305"/>
      <c r="W8" s="305"/>
      <c r="X8" s="305"/>
      <c r="Y8" s="305"/>
      <c r="Z8" s="304"/>
      <c r="AA8" s="306"/>
      <c r="AB8" s="307"/>
      <c r="AC8" s="307"/>
      <c r="AD8" s="307"/>
      <c r="AE8" s="307"/>
      <c r="AF8" s="307"/>
      <c r="AG8" s="307"/>
    </row>
    <row r="9" spans="2:33" s="38" customFormat="1" ht="20.45" customHeight="1" x14ac:dyDescent="0.2">
      <c r="B9" s="98"/>
      <c r="C9" s="99"/>
      <c r="D9" s="99"/>
      <c r="E9" s="99"/>
      <c r="F9" s="99"/>
      <c r="G9" s="684" t="str">
        <f>H_Label!B176</f>
        <v>AHV-Nummer</v>
      </c>
      <c r="H9" s="685"/>
      <c r="I9" s="685"/>
      <c r="J9" s="685"/>
      <c r="K9" s="685"/>
      <c r="L9" s="685"/>
      <c r="M9" s="685"/>
      <c r="N9" s="685"/>
      <c r="O9" s="686"/>
      <c r="Q9" s="687" t="str">
        <f>H_Label!B178</f>
        <v>Geburtsdatum</v>
      </c>
      <c r="R9" s="688"/>
      <c r="S9" s="688"/>
      <c r="T9" s="688"/>
      <c r="U9" s="688"/>
      <c r="V9" s="688"/>
      <c r="W9" s="688"/>
      <c r="X9" s="688"/>
      <c r="Y9" s="689"/>
      <c r="AA9" s="681" t="str">
        <f>H_Label!B182</f>
        <v>Eintrittsdatum</v>
      </c>
      <c r="AB9" s="682"/>
      <c r="AC9" s="682"/>
      <c r="AD9" s="682"/>
      <c r="AE9" s="682"/>
      <c r="AF9" s="682"/>
      <c r="AG9" s="683"/>
    </row>
    <row r="10" spans="2:33" ht="26.1" customHeight="1" x14ac:dyDescent="0.2"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308"/>
      <c r="P10" s="308"/>
      <c r="Q10" s="380" t="str">
        <f>H_Label!B155</f>
        <v>! Gültiges Geburtsdatum eingeben !</v>
      </c>
      <c r="R10" s="380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</row>
    <row r="11" spans="2:33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</row>
    <row r="12" spans="2:33" ht="18" customHeight="1" x14ac:dyDescent="0.2">
      <c r="B12" s="100" t="str">
        <f>H_Label!$B$102</f>
        <v>Vorjahr (Übertrag)</v>
      </c>
      <c r="C12" s="101"/>
      <c r="D12" s="101"/>
      <c r="E12" s="101"/>
      <c r="F12" s="101"/>
      <c r="G12" s="102" t="str">
        <f>H_Label!$B$104</f>
        <v>Stundensaldo</v>
      </c>
      <c r="H12" s="101"/>
      <c r="I12" s="101"/>
      <c r="J12" s="101"/>
      <c r="K12" s="704"/>
      <c r="L12" s="705"/>
      <c r="M12" s="706"/>
      <c r="N12" s="97"/>
      <c r="O12" s="103" t="str">
        <f>H_Label!$B$56</f>
        <v>Stunden</v>
      </c>
      <c r="P12" s="97"/>
      <c r="Q12" s="97"/>
      <c r="R12" s="97"/>
      <c r="S12" s="100" t="str">
        <f>H_Label!$B$103</f>
        <v>laufendes Jahr</v>
      </c>
      <c r="T12" s="101"/>
      <c r="U12" s="101"/>
      <c r="V12" s="101"/>
      <c r="W12" s="101"/>
      <c r="X12" s="102" t="str">
        <f>H_Label!$B$107</f>
        <v>Ferienguthaben</v>
      </c>
      <c r="Y12" s="101"/>
      <c r="Z12" s="101"/>
      <c r="AA12" s="101"/>
      <c r="AB12" s="691">
        <v>176</v>
      </c>
      <c r="AC12" s="692"/>
      <c r="AD12" s="693"/>
      <c r="AE12" s="97"/>
      <c r="AF12" s="103" t="str">
        <f>H_Label!$B$56</f>
        <v>Stunden</v>
      </c>
      <c r="AG12" s="97"/>
    </row>
    <row r="13" spans="2:33" ht="18" customHeight="1" x14ac:dyDescent="0.2">
      <c r="B13" s="101"/>
      <c r="C13" s="101"/>
      <c r="D13" s="101"/>
      <c r="E13" s="101"/>
      <c r="F13" s="101"/>
      <c r="G13" s="102" t="str">
        <f>H_Label!$B$105</f>
        <v>Ferien</v>
      </c>
      <c r="H13" s="101"/>
      <c r="I13" s="101"/>
      <c r="J13" s="101"/>
      <c r="K13" s="704"/>
      <c r="L13" s="705"/>
      <c r="M13" s="706"/>
      <c r="N13" s="97"/>
      <c r="O13" s="103" t="str">
        <f>H_Label!$B$56</f>
        <v>Stunden</v>
      </c>
      <c r="P13" s="97"/>
      <c r="Q13" s="97"/>
      <c r="R13" s="97"/>
      <c r="X13" s="97"/>
      <c r="Y13" s="97"/>
      <c r="Z13" s="97"/>
      <c r="AA13" s="97"/>
      <c r="AB13" s="719" cm="1">
        <f t="array" aca="1" ref="AB13" ca="1">IFERROR(IF(AB15=H_Label!$B$118,AB12,IF(CELL("Format",Q9)="D1",H_fldFerienCalc,"!")),"!")</f>
        <v>176</v>
      </c>
      <c r="AC13" s="720"/>
      <c r="AD13" s="721"/>
      <c r="AE13" s="97"/>
      <c r="AF13" s="103" t="str">
        <f>H_Label!$B$56</f>
        <v>Stunden</v>
      </c>
      <c r="AG13" s="97"/>
    </row>
    <row r="14" spans="2:33" s="38" customFormat="1" ht="20.45" customHeight="1" x14ac:dyDescent="0.2"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X14" s="99"/>
      <c r="Y14" s="99"/>
      <c r="Z14" s="361"/>
      <c r="AF14" s="99"/>
      <c r="AG14" s="99"/>
    </row>
    <row r="15" spans="2:33" ht="12.6" customHeight="1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X15" s="97"/>
      <c r="Y15" s="718" t="str">
        <f>H_Label!B108</f>
        <v>Ferien automatisch berechnen</v>
      </c>
      <c r="Z15" s="718"/>
      <c r="AA15" s="718"/>
      <c r="AB15" s="722" t="s">
        <v>33</v>
      </c>
      <c r="AC15" s="722"/>
      <c r="AD15" s="722"/>
    </row>
    <row r="16" spans="2:33" ht="23.45" customHeight="1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359"/>
      <c r="T16" s="359"/>
      <c r="U16" s="359"/>
      <c r="V16" s="360"/>
      <c r="W16" s="360"/>
      <c r="X16" s="97"/>
      <c r="Y16" s="718"/>
      <c r="Z16" s="718"/>
      <c r="AA16" s="718"/>
      <c r="AB16" s="722"/>
      <c r="AC16" s="722"/>
      <c r="AD16" s="722"/>
    </row>
    <row r="19" spans="1:33" ht="24.6" customHeight="1" x14ac:dyDescent="0.2">
      <c r="A19" s="10"/>
      <c r="B19" s="716" t="str">
        <f>H_Label!$B$95</f>
        <v>Feiertagskalender</v>
      </c>
      <c r="C19" s="716"/>
      <c r="D19" s="716"/>
      <c r="E19" s="716"/>
      <c r="F19" s="716"/>
      <c r="G19" s="716"/>
      <c r="H19" s="716"/>
      <c r="I19" s="716"/>
      <c r="J19" s="716"/>
      <c r="K19" s="716"/>
      <c r="L19" s="716"/>
      <c r="M19" s="716"/>
      <c r="N19" s="716"/>
      <c r="O19" s="716"/>
      <c r="P19" s="716"/>
      <c r="Q19" s="716"/>
      <c r="R19" s="717" t="str">
        <f>H_Label!$B$96</f>
        <v>Feiertage mit einem kleinen x ankreuzen</v>
      </c>
      <c r="S19" s="717"/>
      <c r="T19" s="717"/>
      <c r="U19" s="717"/>
      <c r="V19" s="717"/>
      <c r="W19" s="717"/>
      <c r="X19" s="717"/>
      <c r="Y19" s="717"/>
      <c r="Z19" s="717"/>
      <c r="AA19" s="717"/>
      <c r="AB19" s="717"/>
      <c r="AC19" s="717"/>
      <c r="AD19" s="717"/>
      <c r="AE19" s="717"/>
      <c r="AF19" s="717"/>
      <c r="AG19" s="717"/>
    </row>
    <row r="20" spans="1:33" s="38" customFormat="1" ht="18" customHeight="1" x14ac:dyDescent="0.2">
      <c r="A20" s="59" t="s">
        <v>296</v>
      </c>
      <c r="B20" s="74" t="str">
        <f>H_Label!B85</f>
        <v>Tag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200">
        <v>1</v>
      </c>
      <c r="B21" s="73" t="str">
        <f>H_Label!B72</f>
        <v>Jan</v>
      </c>
      <c r="C21" s="60"/>
      <c r="D21" s="68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200">
        <v>2</v>
      </c>
      <c r="B22" s="73" t="str">
        <f>H_Label!B73</f>
        <v>Feb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6"/>
      <c r="AF22" s="94"/>
      <c r="AG22" s="95"/>
    </row>
    <row r="23" spans="1:33" ht="15" customHeight="1" x14ac:dyDescent="0.2">
      <c r="A23" s="200">
        <v>3</v>
      </c>
      <c r="B23" s="73" t="str">
        <f>H_Label!B74</f>
        <v>Mrz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200">
        <v>4</v>
      </c>
      <c r="B24" s="73" t="str">
        <f>H_Label!B75</f>
        <v>Apr</v>
      </c>
      <c r="C24" s="60"/>
      <c r="D24" s="68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5"/>
    </row>
    <row r="25" spans="1:33" ht="15" customHeight="1" x14ac:dyDescent="0.2">
      <c r="A25" s="200">
        <v>5</v>
      </c>
      <c r="B25" s="73" t="str">
        <f>H_Label!B76</f>
        <v>Mai</v>
      </c>
      <c r="C25" s="60"/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</row>
    <row r="26" spans="1:33" ht="15" customHeight="1" x14ac:dyDescent="0.2">
      <c r="A26" s="200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5"/>
    </row>
    <row r="27" spans="1:33" ht="15" customHeight="1" x14ac:dyDescent="0.2">
      <c r="A27" s="201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201">
        <v>8</v>
      </c>
      <c r="B28" s="73" t="str">
        <f>H_Label!B79</f>
        <v>Aug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201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5"/>
    </row>
    <row r="30" spans="1:33" ht="15" customHeight="1" x14ac:dyDescent="0.2">
      <c r="A30" s="201">
        <v>10</v>
      </c>
      <c r="B30" s="73" t="str">
        <f>H_Label!B81</f>
        <v>Okt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201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5"/>
    </row>
    <row r="32" spans="1:33" ht="15" customHeight="1" x14ac:dyDescent="0.2">
      <c r="A32" s="201">
        <v>12</v>
      </c>
      <c r="B32" s="73" t="str">
        <f>H_Label!B83</f>
        <v>Dez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</row>
    <row r="37" spans="2:33" ht="24.6" customHeight="1" x14ac:dyDescent="0.2">
      <c r="B37" s="603" t="str">
        <f>H_Label!B110</f>
        <v>Pensum (Beschäftigungsgrad)</v>
      </c>
      <c r="C37" s="699"/>
      <c r="D37" s="699"/>
      <c r="E37" s="699"/>
      <c r="F37" s="699"/>
      <c r="G37" s="699"/>
      <c r="H37" s="699"/>
      <c r="I37" s="699"/>
      <c r="J37" s="699"/>
      <c r="K37" s="699"/>
      <c r="L37" s="699"/>
      <c r="M37" s="699"/>
      <c r="N37" s="699"/>
      <c r="O37" s="699"/>
      <c r="P37" s="699"/>
      <c r="Q37" s="699"/>
      <c r="R37" s="699"/>
      <c r="S37" s="699"/>
      <c r="T37" s="699"/>
      <c r="U37" s="699"/>
      <c r="V37" s="699"/>
      <c r="W37" s="699"/>
      <c r="X37" s="699"/>
      <c r="Y37" s="699"/>
      <c r="Z37" s="699"/>
      <c r="AA37" s="699"/>
      <c r="AB37" s="699"/>
      <c r="AC37" s="699"/>
      <c r="AD37" s="699"/>
      <c r="AE37" s="699"/>
      <c r="AF37" s="699"/>
      <c r="AG37" s="699"/>
    </row>
    <row r="38" spans="2:33" ht="12.95" customHeight="1" x14ac:dyDescent="0.2">
      <c r="B38" s="104" t="str">
        <f>H_Label!B111</f>
        <v>Bitte für jeden Arbeitstag das passende Pensum angeben | für arbeitsfreie Tage 0 eingeben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AF38" s="97"/>
      <c r="AG38" s="97"/>
    </row>
    <row r="39" spans="2:33" ht="12.95" customHeight="1" x14ac:dyDescent="0.2">
      <c r="B39" s="104"/>
      <c r="C39" s="97"/>
      <c r="D39" s="97"/>
      <c r="E39" s="97"/>
      <c r="K39" s="97"/>
      <c r="L39" s="97"/>
      <c r="M39" s="97"/>
      <c r="Q39" s="97"/>
      <c r="R39" s="97"/>
      <c r="S39" s="97"/>
      <c r="T39" s="97"/>
      <c r="U39" s="97"/>
      <c r="V39" s="97"/>
      <c r="W39" s="97"/>
      <c r="AF39" s="97"/>
      <c r="AG39" s="97"/>
    </row>
    <row r="40" spans="2:33" ht="12.95" customHeight="1" x14ac:dyDescent="0.2">
      <c r="B40" s="715" t="str">
        <f>H_Label!B112</f>
        <v>alle Monate gleich</v>
      </c>
      <c r="C40" s="715"/>
      <c r="D40" s="715"/>
      <c r="E40" s="715"/>
      <c r="F40" s="713" t="s">
        <v>320</v>
      </c>
      <c r="G40" s="714"/>
      <c r="I40" s="715" t="str">
        <f>H_Label!B113</f>
        <v xml:space="preserve">   alle Tage gleich</v>
      </c>
      <c r="J40" s="715"/>
      <c r="K40" s="715"/>
      <c r="L40" s="715"/>
      <c r="M40" s="714" t="s">
        <v>320</v>
      </c>
      <c r="N40" s="714"/>
      <c r="S40" s="97"/>
      <c r="T40" s="97"/>
      <c r="U40" s="97"/>
      <c r="V40" s="97"/>
      <c r="W40" s="97"/>
      <c r="AF40" s="97"/>
      <c r="AG40" s="97"/>
    </row>
    <row r="41" spans="2:33" ht="12.95" customHeight="1" x14ac:dyDescent="0.2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AF41" s="97"/>
      <c r="AG41" s="97"/>
    </row>
    <row r="42" spans="2:33" ht="12.95" customHeight="1" x14ac:dyDescent="0.2">
      <c r="B42" s="73"/>
      <c r="C42" s="700" t="s">
        <v>59</v>
      </c>
      <c r="D42" s="701"/>
      <c r="E42" s="707" t="str">
        <f>H_Label!B86</f>
        <v>MO</v>
      </c>
      <c r="F42" s="701"/>
      <c r="G42" s="707" t="str">
        <f>H_Label!B87</f>
        <v>DI</v>
      </c>
      <c r="H42" s="701"/>
      <c r="I42" s="707" t="str">
        <f>H_Label!B88</f>
        <v>MI</v>
      </c>
      <c r="J42" s="701"/>
      <c r="K42" s="707" t="str">
        <f>H_Label!B89</f>
        <v>DO</v>
      </c>
      <c r="L42" s="701"/>
      <c r="M42" s="707" t="str">
        <f>H_Label!B90</f>
        <v>FR</v>
      </c>
      <c r="N42" s="701"/>
      <c r="O42" s="710" t="str">
        <f>H_Label!B120</f>
        <v>Ø AT</v>
      </c>
      <c r="P42" s="701"/>
      <c r="Q42" s="710" t="str">
        <f>H_Label!B121</f>
        <v>Ø Std/Tag</v>
      </c>
      <c r="R42" s="701"/>
      <c r="S42" s="710" t="str">
        <f>H_Label!B122</f>
        <v>effekt. BG</v>
      </c>
      <c r="T42" s="701"/>
      <c r="U42" s="97"/>
      <c r="V42" s="97"/>
      <c r="W42" s="97"/>
    </row>
    <row r="43" spans="2:33" ht="12.95" customHeight="1" x14ac:dyDescent="0.2">
      <c r="B43" s="535" t="str">
        <f>H_Label!B72</f>
        <v>Jan</v>
      </c>
      <c r="C43" s="702">
        <f>H_Basis!D33</f>
        <v>100</v>
      </c>
      <c r="D43" s="703"/>
      <c r="E43" s="708">
        <v>100</v>
      </c>
      <c r="F43" s="709"/>
      <c r="G43" s="708">
        <v>100</v>
      </c>
      <c r="H43" s="709"/>
      <c r="I43" s="708">
        <v>100</v>
      </c>
      <c r="J43" s="709"/>
      <c r="K43" s="708">
        <v>100</v>
      </c>
      <c r="L43" s="709"/>
      <c r="M43" s="708">
        <v>100</v>
      </c>
      <c r="N43" s="709"/>
      <c r="O43" s="702">
        <f>H_Basis!J33</f>
        <v>5</v>
      </c>
      <c r="P43" s="703"/>
      <c r="Q43" s="702">
        <f>H_Basis!K33</f>
        <v>8</v>
      </c>
      <c r="R43" s="703"/>
      <c r="S43" s="711">
        <f>H_Basis!M33</f>
        <v>1</v>
      </c>
      <c r="T43" s="712"/>
      <c r="U43" s="97"/>
      <c r="V43" s="97"/>
      <c r="W43" s="97"/>
    </row>
    <row r="44" spans="2:33" ht="12.95" customHeight="1" x14ac:dyDescent="0.2">
      <c r="B44" s="73" t="str">
        <f>H_Label!B73</f>
        <v>Feb</v>
      </c>
      <c r="C44" s="702">
        <f>H_Basis!D34</f>
        <v>100</v>
      </c>
      <c r="D44" s="703"/>
      <c r="E44" s="708">
        <v>100</v>
      </c>
      <c r="F44" s="709"/>
      <c r="G44" s="708">
        <v>100</v>
      </c>
      <c r="H44" s="709"/>
      <c r="I44" s="708">
        <v>100</v>
      </c>
      <c r="J44" s="709"/>
      <c r="K44" s="708">
        <v>100</v>
      </c>
      <c r="L44" s="709"/>
      <c r="M44" s="708">
        <v>100</v>
      </c>
      <c r="N44" s="709"/>
      <c r="O44" s="702">
        <f>H_Basis!J34</f>
        <v>5</v>
      </c>
      <c r="P44" s="703"/>
      <c r="Q44" s="702">
        <f>H_Basis!K34</f>
        <v>8</v>
      </c>
      <c r="R44" s="703"/>
      <c r="S44" s="711">
        <f>H_Basis!M34</f>
        <v>1</v>
      </c>
      <c r="T44" s="712"/>
      <c r="U44" s="97"/>
      <c r="V44" s="97"/>
      <c r="W44" s="97"/>
    </row>
    <row r="45" spans="2:33" ht="12.95" customHeight="1" x14ac:dyDescent="0.2">
      <c r="B45" s="73" t="str">
        <f>H_Label!B74</f>
        <v>Mrz</v>
      </c>
      <c r="C45" s="702">
        <f>H_Basis!D35</f>
        <v>100</v>
      </c>
      <c r="D45" s="703"/>
      <c r="E45" s="708">
        <v>100</v>
      </c>
      <c r="F45" s="709"/>
      <c r="G45" s="708">
        <v>100</v>
      </c>
      <c r="H45" s="709"/>
      <c r="I45" s="708">
        <v>100</v>
      </c>
      <c r="J45" s="709"/>
      <c r="K45" s="708">
        <v>100</v>
      </c>
      <c r="L45" s="709"/>
      <c r="M45" s="708">
        <v>100</v>
      </c>
      <c r="N45" s="709"/>
      <c r="O45" s="702">
        <f>H_Basis!J35</f>
        <v>5</v>
      </c>
      <c r="P45" s="703"/>
      <c r="Q45" s="702">
        <f>H_Basis!K35</f>
        <v>8</v>
      </c>
      <c r="R45" s="703"/>
      <c r="S45" s="711">
        <f>H_Basis!M35</f>
        <v>1</v>
      </c>
      <c r="T45" s="712"/>
      <c r="U45" s="97"/>
      <c r="V45" s="97"/>
      <c r="W45" s="97"/>
    </row>
    <row r="46" spans="2:33" ht="12.95" customHeight="1" x14ac:dyDescent="0.2">
      <c r="B46" s="73" t="str">
        <f>H_Label!B75</f>
        <v>Apr</v>
      </c>
      <c r="C46" s="702">
        <f>H_Basis!D36</f>
        <v>100</v>
      </c>
      <c r="D46" s="703"/>
      <c r="E46" s="708">
        <v>100</v>
      </c>
      <c r="F46" s="709"/>
      <c r="G46" s="708">
        <v>100</v>
      </c>
      <c r="H46" s="709"/>
      <c r="I46" s="708">
        <v>100</v>
      </c>
      <c r="J46" s="709"/>
      <c r="K46" s="708">
        <v>100</v>
      </c>
      <c r="L46" s="709"/>
      <c r="M46" s="708">
        <v>100</v>
      </c>
      <c r="N46" s="709"/>
      <c r="O46" s="702">
        <f>H_Basis!J36</f>
        <v>5</v>
      </c>
      <c r="P46" s="703"/>
      <c r="Q46" s="702">
        <f>H_Basis!K36</f>
        <v>8</v>
      </c>
      <c r="R46" s="703"/>
      <c r="S46" s="711">
        <f>H_Basis!M36</f>
        <v>1</v>
      </c>
      <c r="T46" s="712"/>
      <c r="U46" s="97"/>
      <c r="V46" s="97"/>
      <c r="W46" s="97"/>
    </row>
    <row r="47" spans="2:33" ht="12.95" customHeight="1" x14ac:dyDescent="0.2">
      <c r="B47" s="73" t="str">
        <f>H_Label!B76</f>
        <v>Mai</v>
      </c>
      <c r="C47" s="702">
        <f>H_Basis!D37</f>
        <v>100</v>
      </c>
      <c r="D47" s="703"/>
      <c r="E47" s="708">
        <v>100</v>
      </c>
      <c r="F47" s="709"/>
      <c r="G47" s="708">
        <v>100</v>
      </c>
      <c r="H47" s="709"/>
      <c r="I47" s="708">
        <v>100</v>
      </c>
      <c r="J47" s="709"/>
      <c r="K47" s="708">
        <v>100</v>
      </c>
      <c r="L47" s="709"/>
      <c r="M47" s="708">
        <v>100</v>
      </c>
      <c r="N47" s="709"/>
      <c r="O47" s="702">
        <f>H_Basis!J37</f>
        <v>5</v>
      </c>
      <c r="P47" s="703"/>
      <c r="Q47" s="702">
        <f>H_Basis!K37</f>
        <v>8</v>
      </c>
      <c r="R47" s="703"/>
      <c r="S47" s="711">
        <f>H_Basis!M37</f>
        <v>1</v>
      </c>
      <c r="T47" s="712"/>
      <c r="U47" s="97"/>
      <c r="V47" s="97"/>
      <c r="W47" s="97"/>
    </row>
    <row r="48" spans="2:33" ht="12.95" customHeight="1" x14ac:dyDescent="0.2">
      <c r="B48" s="73" t="str">
        <f>H_Label!B77</f>
        <v>Jun</v>
      </c>
      <c r="C48" s="702">
        <f>H_Basis!D38</f>
        <v>100</v>
      </c>
      <c r="D48" s="703"/>
      <c r="E48" s="708">
        <v>100</v>
      </c>
      <c r="F48" s="709"/>
      <c r="G48" s="708">
        <v>100</v>
      </c>
      <c r="H48" s="709"/>
      <c r="I48" s="708">
        <v>100</v>
      </c>
      <c r="J48" s="709"/>
      <c r="K48" s="708">
        <v>100</v>
      </c>
      <c r="L48" s="709"/>
      <c r="M48" s="708">
        <v>100</v>
      </c>
      <c r="N48" s="709"/>
      <c r="O48" s="702">
        <f>H_Basis!J38</f>
        <v>5</v>
      </c>
      <c r="P48" s="703"/>
      <c r="Q48" s="702">
        <f>H_Basis!K38</f>
        <v>8</v>
      </c>
      <c r="R48" s="703"/>
      <c r="S48" s="711">
        <f>H_Basis!M38</f>
        <v>1</v>
      </c>
      <c r="T48" s="712"/>
      <c r="U48" s="97"/>
      <c r="V48" s="97"/>
      <c r="W48" s="97"/>
    </row>
    <row r="49" spans="2:23" ht="12.95" customHeight="1" x14ac:dyDescent="0.2">
      <c r="B49" s="73" t="str">
        <f>H_Label!B78</f>
        <v>Jul</v>
      </c>
      <c r="C49" s="702">
        <f>H_Basis!D39</f>
        <v>100</v>
      </c>
      <c r="D49" s="703"/>
      <c r="E49" s="708">
        <v>100</v>
      </c>
      <c r="F49" s="709"/>
      <c r="G49" s="708">
        <v>100</v>
      </c>
      <c r="H49" s="709"/>
      <c r="I49" s="708">
        <v>100</v>
      </c>
      <c r="J49" s="709"/>
      <c r="K49" s="708">
        <v>100</v>
      </c>
      <c r="L49" s="709"/>
      <c r="M49" s="708">
        <v>100</v>
      </c>
      <c r="N49" s="709"/>
      <c r="O49" s="702">
        <f>H_Basis!J39</f>
        <v>5</v>
      </c>
      <c r="P49" s="703"/>
      <c r="Q49" s="702">
        <f>H_Basis!K39</f>
        <v>8</v>
      </c>
      <c r="R49" s="703"/>
      <c r="S49" s="711">
        <f>H_Basis!M39</f>
        <v>1</v>
      </c>
      <c r="T49" s="712"/>
      <c r="U49" s="97"/>
      <c r="V49" s="97"/>
      <c r="W49" s="97"/>
    </row>
    <row r="50" spans="2:23" ht="12.95" customHeight="1" x14ac:dyDescent="0.2">
      <c r="B50" s="73" t="str">
        <f>H_Label!B79</f>
        <v>Aug</v>
      </c>
      <c r="C50" s="702">
        <f>H_Basis!D40</f>
        <v>100</v>
      </c>
      <c r="D50" s="703"/>
      <c r="E50" s="708">
        <v>100</v>
      </c>
      <c r="F50" s="709"/>
      <c r="G50" s="708">
        <v>100</v>
      </c>
      <c r="H50" s="709"/>
      <c r="I50" s="708">
        <v>100</v>
      </c>
      <c r="J50" s="709"/>
      <c r="K50" s="708">
        <v>100</v>
      </c>
      <c r="L50" s="709"/>
      <c r="M50" s="708">
        <v>100</v>
      </c>
      <c r="N50" s="709"/>
      <c r="O50" s="702">
        <f>H_Basis!J40</f>
        <v>5</v>
      </c>
      <c r="P50" s="703"/>
      <c r="Q50" s="702">
        <f>H_Basis!K40</f>
        <v>8</v>
      </c>
      <c r="R50" s="703"/>
      <c r="S50" s="711">
        <f>H_Basis!M40</f>
        <v>1</v>
      </c>
      <c r="T50" s="712"/>
    </row>
    <row r="51" spans="2:23" ht="12.95" customHeight="1" x14ac:dyDescent="0.2">
      <c r="B51" s="73" t="str">
        <f>H_Label!B80</f>
        <v>Sep</v>
      </c>
      <c r="C51" s="702">
        <f>H_Basis!D41</f>
        <v>100</v>
      </c>
      <c r="D51" s="703"/>
      <c r="E51" s="708">
        <v>100</v>
      </c>
      <c r="F51" s="709"/>
      <c r="G51" s="708">
        <v>100</v>
      </c>
      <c r="H51" s="709"/>
      <c r="I51" s="708">
        <v>100</v>
      </c>
      <c r="J51" s="709"/>
      <c r="K51" s="708">
        <v>100</v>
      </c>
      <c r="L51" s="709"/>
      <c r="M51" s="708">
        <v>100</v>
      </c>
      <c r="N51" s="709"/>
      <c r="O51" s="702">
        <f>H_Basis!J41</f>
        <v>5</v>
      </c>
      <c r="P51" s="703"/>
      <c r="Q51" s="702">
        <f>H_Basis!K41</f>
        <v>8</v>
      </c>
      <c r="R51" s="703"/>
      <c r="S51" s="711">
        <f>H_Basis!M41</f>
        <v>1</v>
      </c>
      <c r="T51" s="712"/>
    </row>
    <row r="52" spans="2:23" ht="12.95" customHeight="1" x14ac:dyDescent="0.2">
      <c r="B52" s="73" t="str">
        <f>H_Label!B81</f>
        <v>Okt</v>
      </c>
      <c r="C52" s="702">
        <f>H_Basis!D42</f>
        <v>100</v>
      </c>
      <c r="D52" s="703"/>
      <c r="E52" s="708">
        <v>100</v>
      </c>
      <c r="F52" s="709"/>
      <c r="G52" s="708">
        <v>100</v>
      </c>
      <c r="H52" s="709"/>
      <c r="I52" s="708">
        <v>100</v>
      </c>
      <c r="J52" s="709"/>
      <c r="K52" s="708">
        <v>100</v>
      </c>
      <c r="L52" s="709"/>
      <c r="M52" s="708">
        <v>100</v>
      </c>
      <c r="N52" s="709"/>
      <c r="O52" s="702">
        <f>H_Basis!J42</f>
        <v>5</v>
      </c>
      <c r="P52" s="703"/>
      <c r="Q52" s="702">
        <f>H_Basis!K42</f>
        <v>8</v>
      </c>
      <c r="R52" s="703"/>
      <c r="S52" s="711">
        <f>H_Basis!M42</f>
        <v>1</v>
      </c>
      <c r="T52" s="712"/>
    </row>
    <row r="53" spans="2:23" ht="12.95" customHeight="1" x14ac:dyDescent="0.2">
      <c r="B53" s="73" t="str">
        <f>H_Label!B82</f>
        <v>Nov</v>
      </c>
      <c r="C53" s="702">
        <f>H_Basis!D43</f>
        <v>100</v>
      </c>
      <c r="D53" s="703"/>
      <c r="E53" s="708">
        <v>100</v>
      </c>
      <c r="F53" s="709"/>
      <c r="G53" s="708">
        <v>100</v>
      </c>
      <c r="H53" s="709"/>
      <c r="I53" s="708">
        <v>100</v>
      </c>
      <c r="J53" s="709"/>
      <c r="K53" s="708">
        <v>100</v>
      </c>
      <c r="L53" s="709"/>
      <c r="M53" s="708">
        <v>100</v>
      </c>
      <c r="N53" s="709"/>
      <c r="O53" s="702">
        <f>H_Basis!J43</f>
        <v>5</v>
      </c>
      <c r="P53" s="703"/>
      <c r="Q53" s="702">
        <f>H_Basis!K43</f>
        <v>8</v>
      </c>
      <c r="R53" s="703"/>
      <c r="S53" s="711">
        <f>H_Basis!M43</f>
        <v>1</v>
      </c>
      <c r="T53" s="712"/>
    </row>
    <row r="54" spans="2:23" ht="12.95" customHeight="1" thickBot="1" x14ac:dyDescent="0.25">
      <c r="B54" s="77" t="str">
        <f>H_Label!B83</f>
        <v>Dez</v>
      </c>
      <c r="C54" s="702">
        <f>H_Basis!D44</f>
        <v>100</v>
      </c>
      <c r="D54" s="703"/>
      <c r="E54" s="708">
        <v>100</v>
      </c>
      <c r="F54" s="709"/>
      <c r="G54" s="708">
        <v>100</v>
      </c>
      <c r="H54" s="709"/>
      <c r="I54" s="708">
        <v>100</v>
      </c>
      <c r="J54" s="709"/>
      <c r="K54" s="708">
        <v>100</v>
      </c>
      <c r="L54" s="709"/>
      <c r="M54" s="708">
        <v>100</v>
      </c>
      <c r="N54" s="709"/>
      <c r="O54" s="725">
        <f>H_Basis!J44</f>
        <v>5</v>
      </c>
      <c r="P54" s="726"/>
      <c r="Q54" s="725">
        <f>H_Basis!K44</f>
        <v>8</v>
      </c>
      <c r="R54" s="726"/>
      <c r="S54" s="727">
        <f>H_Basis!M44</f>
        <v>1</v>
      </c>
      <c r="T54" s="728"/>
    </row>
    <row r="55" spans="2:23" ht="17.45" customHeight="1" x14ac:dyDescent="0.2">
      <c r="B55" s="78" t="s">
        <v>81</v>
      </c>
      <c r="C55" s="723">
        <f>H_Basis!D45</f>
        <v>100</v>
      </c>
      <c r="D55" s="724"/>
      <c r="E55" s="723">
        <f>H_Basis!E45</f>
        <v>100</v>
      </c>
      <c r="F55" s="724"/>
      <c r="G55" s="723">
        <f>H_Basis!F45</f>
        <v>100</v>
      </c>
      <c r="H55" s="724"/>
      <c r="I55" s="723">
        <f>H_Basis!G45</f>
        <v>100</v>
      </c>
      <c r="J55" s="724"/>
      <c r="K55" s="723">
        <f>H_Basis!H45</f>
        <v>100</v>
      </c>
      <c r="L55" s="724"/>
      <c r="M55" s="723">
        <f>H_Basis!I45</f>
        <v>100</v>
      </c>
      <c r="N55" s="724"/>
      <c r="O55" s="723">
        <f>H_Basis!J45</f>
        <v>5</v>
      </c>
      <c r="P55" s="724"/>
      <c r="Q55" s="723">
        <f>H_Basis!K45</f>
        <v>8</v>
      </c>
      <c r="R55" s="724"/>
      <c r="S55" s="729">
        <f>H_Basis!L45</f>
        <v>1</v>
      </c>
      <c r="T55" s="730"/>
    </row>
    <row r="57" spans="2:23" x14ac:dyDescent="0.2">
      <c r="C57" s="97"/>
      <c r="D57" s="97"/>
      <c r="E57" s="97"/>
      <c r="F57" s="97"/>
      <c r="G57" s="97"/>
      <c r="H57" s="97"/>
      <c r="I57" s="97"/>
    </row>
    <row r="58" spans="2:23" x14ac:dyDescent="0.2">
      <c r="B58" s="142"/>
      <c r="C58" s="97"/>
      <c r="D58" s="97"/>
      <c r="E58" s="97"/>
      <c r="F58" s="97"/>
      <c r="G58" s="97"/>
      <c r="H58" s="97"/>
      <c r="I58" s="97"/>
    </row>
    <row r="59" spans="2:23" x14ac:dyDescent="0.2">
      <c r="B59" s="104" t="str">
        <f>H_Label!B114</f>
        <v>Umrechnungshilfe Tagesarbeitszeit</v>
      </c>
      <c r="C59" s="97"/>
      <c r="D59" s="97"/>
      <c r="E59" s="97"/>
      <c r="F59" s="97"/>
      <c r="G59" s="97"/>
      <c r="H59" s="97"/>
      <c r="I59" s="97"/>
    </row>
    <row r="60" spans="2:23" x14ac:dyDescent="0.2">
      <c r="B60" s="97"/>
      <c r="C60" s="97"/>
      <c r="D60" s="97"/>
      <c r="E60" s="97"/>
      <c r="F60" s="97"/>
      <c r="G60" s="97"/>
      <c r="H60" s="97"/>
      <c r="I60" s="97"/>
    </row>
    <row r="61" spans="2:23" x14ac:dyDescent="0.2">
      <c r="B61" s="739" t="str">
        <f>H_Label!B131</f>
        <v>Zeit
hh:mm</v>
      </c>
      <c r="C61" s="740"/>
      <c r="D61" s="739" t="str">
        <f>H_Label!B132</f>
        <v>Zeit
dezimal</v>
      </c>
      <c r="E61" s="740"/>
      <c r="F61" s="739" t="str">
        <f>H_Label!B133</f>
        <v>% bei 8 Std/Tag</v>
      </c>
      <c r="G61" s="740"/>
      <c r="H61" s="97"/>
      <c r="I61" s="97"/>
    </row>
    <row r="62" spans="2:23" x14ac:dyDescent="0.2">
      <c r="B62" s="741"/>
      <c r="C62" s="742"/>
      <c r="D62" s="741"/>
      <c r="E62" s="742"/>
      <c r="F62" s="741"/>
      <c r="G62" s="742"/>
      <c r="H62" s="97"/>
      <c r="I62" s="97"/>
    </row>
    <row r="63" spans="2:23" x14ac:dyDescent="0.2">
      <c r="B63" s="731">
        <v>0.33333333333333331</v>
      </c>
      <c r="C63" s="732"/>
      <c r="D63" s="743">
        <f>B63*24</f>
        <v>8</v>
      </c>
      <c r="E63" s="744"/>
      <c r="F63" s="751">
        <f>D63/Admin_Konfig!$G$20</f>
        <v>1</v>
      </c>
      <c r="G63" s="752"/>
      <c r="H63" s="97"/>
      <c r="I63" s="97"/>
    </row>
    <row r="64" spans="2:23" x14ac:dyDescent="0.2">
      <c r="B64" s="733"/>
      <c r="C64" s="734"/>
      <c r="D64" s="745"/>
      <c r="E64" s="746"/>
      <c r="F64" s="753"/>
      <c r="G64" s="754"/>
      <c r="H64" s="97"/>
      <c r="I64" s="97"/>
    </row>
    <row r="65" spans="2:9" x14ac:dyDescent="0.2">
      <c r="B65" s="735">
        <f>D65/24</f>
        <v>0.33333333333333331</v>
      </c>
      <c r="C65" s="736"/>
      <c r="D65" s="747">
        <v>8</v>
      </c>
      <c r="E65" s="748"/>
      <c r="F65" s="751">
        <f>D65/Admin_Konfig!$G$20</f>
        <v>1</v>
      </c>
      <c r="G65" s="752"/>
      <c r="H65" s="97"/>
      <c r="I65" s="97"/>
    </row>
    <row r="66" spans="2:9" x14ac:dyDescent="0.2">
      <c r="B66" s="737"/>
      <c r="C66" s="738"/>
      <c r="D66" s="749"/>
      <c r="E66" s="750"/>
      <c r="F66" s="753"/>
      <c r="G66" s="754"/>
      <c r="H66" s="97"/>
      <c r="I66" s="97"/>
    </row>
    <row r="67" spans="2:9" x14ac:dyDescent="0.2">
      <c r="B67" s="735">
        <f>D67/24</f>
        <v>0.33333333333333331</v>
      </c>
      <c r="C67" s="736"/>
      <c r="D67" s="743">
        <f>Admin_Konfig!$G$20*F67</f>
        <v>8</v>
      </c>
      <c r="E67" s="744"/>
      <c r="F67" s="755">
        <v>1</v>
      </c>
      <c r="G67" s="756"/>
      <c r="H67" s="97"/>
      <c r="I67" s="97"/>
    </row>
    <row r="68" spans="2:9" x14ac:dyDescent="0.2">
      <c r="B68" s="737"/>
      <c r="C68" s="738"/>
      <c r="D68" s="745"/>
      <c r="E68" s="746"/>
      <c r="F68" s="757"/>
      <c r="G68" s="758"/>
      <c r="H68" s="97"/>
      <c r="I68" s="97"/>
    </row>
  </sheetData>
  <sheetProtection algorithmName="SHA-512" hashValue="hqENHo2jrm9OZND7kV/hgh0gYcP0YYc6Uhs4pNEcn7CM8aVj7LVSOjwRSPlIXZ6XuJgnSU+NeIy7+69qlbUXGw==" saltValue="i12VQwCs9jQ12hi05uaLqw==" spinCount="100000" sheet="1" objects="1" scenarios="1"/>
  <dataConsolidate/>
  <mergeCells count="161"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  <mergeCell ref="S53:T53"/>
    <mergeCell ref="S54:T54"/>
    <mergeCell ref="S55:T55"/>
    <mergeCell ref="S44:T44"/>
    <mergeCell ref="S45:T45"/>
    <mergeCell ref="S46:T46"/>
    <mergeCell ref="S47:T47"/>
    <mergeCell ref="S48:T48"/>
    <mergeCell ref="S49:T49"/>
    <mergeCell ref="S50:T50"/>
    <mergeCell ref="S51:T51"/>
    <mergeCell ref="S52:T52"/>
    <mergeCell ref="Q52:R52"/>
    <mergeCell ref="O50:P50"/>
    <mergeCell ref="O51:P51"/>
    <mergeCell ref="O52:P52"/>
    <mergeCell ref="O55:P55"/>
    <mergeCell ref="Q55:R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K50:L50"/>
    <mergeCell ref="K51:L51"/>
    <mergeCell ref="I52:J52"/>
    <mergeCell ref="G50:H50"/>
    <mergeCell ref="Q44:R44"/>
    <mergeCell ref="Q45:R45"/>
    <mergeCell ref="Q46:R46"/>
    <mergeCell ref="M53:N53"/>
    <mergeCell ref="M54:N54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50:N50"/>
    <mergeCell ref="M51:N51"/>
    <mergeCell ref="M52:N52"/>
    <mergeCell ref="Q47:R47"/>
    <mergeCell ref="Q48:R48"/>
    <mergeCell ref="Q49:R49"/>
    <mergeCell ref="Q50:R50"/>
    <mergeCell ref="Q51:R51"/>
    <mergeCell ref="G51:H51"/>
    <mergeCell ref="G52:H52"/>
    <mergeCell ref="K52:L52"/>
    <mergeCell ref="K53:L53"/>
    <mergeCell ref="K54:L54"/>
    <mergeCell ref="M44:N44"/>
    <mergeCell ref="M45:N45"/>
    <mergeCell ref="M46:N46"/>
    <mergeCell ref="K44:L44"/>
    <mergeCell ref="K45:L45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I50:J50"/>
    <mergeCell ref="I51:J51"/>
    <mergeCell ref="G42:H42"/>
    <mergeCell ref="G43:H43"/>
    <mergeCell ref="G44:H44"/>
    <mergeCell ref="G45:H45"/>
    <mergeCell ref="G46:H46"/>
    <mergeCell ref="G47:H47"/>
    <mergeCell ref="G48:H48"/>
    <mergeCell ref="G49:H49"/>
    <mergeCell ref="E47:F47"/>
    <mergeCell ref="E48:F48"/>
    <mergeCell ref="E49:F49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AA7:AG7"/>
    <mergeCell ref="G9:O9"/>
    <mergeCell ref="Q9:Y9"/>
    <mergeCell ref="AA9:AG9"/>
    <mergeCell ref="U1:X1"/>
    <mergeCell ref="AB12:AD12"/>
    <mergeCell ref="G3:O3"/>
    <mergeCell ref="G6:O6"/>
    <mergeCell ref="Q6:Y6"/>
    <mergeCell ref="Q7:Y7"/>
    <mergeCell ref="AA6:AG6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30" priority="1">
      <formula>$AB$13="!"</formula>
    </cfRule>
  </conditionalFormatting>
  <conditionalFormatting sqref="AB12:AD12">
    <cfRule type="expression" dxfId="229" priority="164">
      <formula>$AB$15="ja"</formula>
    </cfRule>
  </conditionalFormatting>
  <conditionalFormatting sqref="AB13:AD13">
    <cfRule type="expression" dxfId="228" priority="165">
      <formula>$AB$15="ja"</formula>
    </cfRule>
  </conditionalFormatting>
  <dataValidations count="1">
    <dataValidation type="custom" showErrorMessage="1" errorTitle="Sonntag" error="keine Eingabe möglich" sqref="C21:AG32" xr:uid="{A13629A5-1774-4AB6-8C29-6D842976B810}">
      <formula1>WEEKDAY(DATE(A_Jahr,$A21,C$20),2)&lt;&gt;7</formula1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A6:AG6 G3 G6 G9 Q9 AA9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186</vt:i4>
      </vt:variant>
    </vt:vector>
  </HeadingPairs>
  <TitlesOfParts>
    <vt:vector size="201" baseType="lpstr">
      <vt:lpstr>Admin_Konfig</vt:lpstr>
      <vt:lpstr>Basisblatt</vt:lpstr>
      <vt:lpstr>JAN</vt:lpstr>
      <vt:lpstr>FEB</vt:lpstr>
      <vt:lpstr>MRZ</vt:lpstr>
      <vt:lpstr>APR</vt:lpstr>
      <vt:lpstr>MAI</vt:lpstr>
      <vt:lpstr>JUN</vt:lpstr>
      <vt:lpstr>JUL</vt:lpstr>
      <vt:lpstr>AUG</vt:lpstr>
      <vt:lpstr>SEP</vt:lpstr>
      <vt:lpstr>OKT</vt:lpstr>
      <vt:lpstr>NOV</vt:lpstr>
      <vt:lpstr>DEZ</vt:lpstr>
      <vt:lpstr>Jahresauswertung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A_SJ</vt:lpstr>
      <vt:lpstr>B_fldFerienBasis</vt:lpstr>
      <vt:lpstr>B_fldFerienVJ</vt:lpstr>
      <vt:lpstr>B_fldFirma</vt:lpstr>
      <vt:lpstr>B_fldMA</vt:lpstr>
      <vt:lpstr>B_fldMntGleich</vt:lpstr>
      <vt:lpstr>B_fldSaldoVJ</vt:lpstr>
      <vt:lpstr>B_fldTageGleich</vt:lpstr>
      <vt:lpstr>B_tblFeiertage</vt:lpstr>
      <vt:lpstr>B_tblFTMatrix</vt:lpstr>
      <vt:lpstr>B_tblPensum</vt:lpstr>
      <vt:lpstr>D_Debug</vt:lpstr>
      <vt:lpstr>APR!Druckbereich</vt:lpstr>
      <vt:lpstr>AUG!Druckbereich</vt:lpstr>
      <vt:lpstr>Basisblatt!Druckbereich</vt:lpstr>
      <vt:lpstr>DEZ!Druckbereich</vt:lpstr>
      <vt:lpstr>FEB!Druckbereich</vt:lpstr>
      <vt:lpstr>Jahresauswertung!Druckbereich</vt:lpstr>
      <vt:lpstr>JAN!Druckbereich</vt:lpstr>
      <vt:lpstr>JUL!Druckbereich</vt:lpstr>
      <vt:lpstr>JUN!Druckbereich</vt:lpstr>
      <vt:lpstr>MAI!Druckbereich</vt:lpstr>
      <vt:lpstr>MRZ!Druckbereich</vt:lpstr>
      <vt:lpstr>NOV!Druckbereich</vt:lpstr>
      <vt:lpstr>OKT!Druckbereich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H_fldFerienEndSaldo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APR!M_Ausschluss</vt:lpstr>
      <vt:lpstr>AUG!M_Ausschluss</vt:lpstr>
      <vt:lpstr>DEZ!M_Ausschluss</vt:lpstr>
      <vt:lpstr>FEB!M_Ausschluss</vt:lpstr>
      <vt:lpstr>JAN!M_Ausschluss</vt:lpstr>
      <vt:lpstr>JUL!M_Ausschluss</vt:lpstr>
      <vt:lpstr>JUN!M_Ausschluss</vt:lpstr>
      <vt:lpstr>MAI!M_Ausschluss</vt:lpstr>
      <vt:lpstr>MRZ!M_Ausschluss</vt:lpstr>
      <vt:lpstr>NOV!M_Ausschluss</vt:lpstr>
      <vt:lpstr>OKT!M_Ausschluss</vt:lpstr>
      <vt:lpstr>SEP!M_Ausschluss</vt:lpstr>
      <vt:lpstr>APR!M_Daten</vt:lpstr>
      <vt:lpstr>AUG!M_Daten</vt:lpstr>
      <vt:lpstr>DEZ!M_Daten</vt:lpstr>
      <vt:lpstr>FEB!M_Daten</vt:lpstr>
      <vt:lpstr>JAN!M_Daten</vt:lpstr>
      <vt:lpstr>JUL!M_Daten</vt:lpstr>
      <vt:lpstr>JUN!M_Daten</vt:lpstr>
      <vt:lpstr>MAI!M_Daten</vt:lpstr>
      <vt:lpstr>MRZ!M_Daten</vt:lpstr>
      <vt:lpstr>NOV!M_Daten</vt:lpstr>
      <vt:lpstr>OKT!M_Daten</vt:lpstr>
      <vt:lpstr>SEP!M_Daten</vt:lpstr>
      <vt:lpstr>APR!M_MntKontrolle</vt:lpstr>
      <vt:lpstr>AUG!M_MntKontrolle</vt:lpstr>
      <vt:lpstr>DEZ!M_MntKontrolle</vt:lpstr>
      <vt:lpstr>FEB!M_MntKontrolle</vt:lpstr>
      <vt:lpstr>JAN!M_MntKontrolle</vt:lpstr>
      <vt:lpstr>JUL!M_MntKontrolle</vt:lpstr>
      <vt:lpstr>JUN!M_MntKontrolle</vt:lpstr>
      <vt:lpstr>MAI!M_MntKontrolle</vt:lpstr>
      <vt:lpstr>MRZ!M_MntKontrolle</vt:lpstr>
      <vt:lpstr>NOV!M_MntKontrolle</vt:lpstr>
      <vt:lpstr>OKT!M_MntKontrolle</vt:lpstr>
      <vt:lpstr>SEP!M_MntKontrolle</vt:lpstr>
      <vt:lpstr>APR!M_Monat</vt:lpstr>
      <vt:lpstr>AUG!M_Monat</vt:lpstr>
      <vt:lpstr>DEZ!M_Monat</vt:lpstr>
      <vt:lpstr>FEB!M_Monat</vt:lpstr>
      <vt:lpstr>JAN!M_Monat</vt:lpstr>
      <vt:lpstr>JUL!M_Monat</vt:lpstr>
      <vt:lpstr>JUN!M_Monat</vt:lpstr>
      <vt:lpstr>MAI!M_Monat</vt:lpstr>
      <vt:lpstr>MRZ!M_Monat</vt:lpstr>
      <vt:lpstr>NOV!M_Monat</vt:lpstr>
      <vt:lpstr>OKT!M_Monat</vt:lpstr>
      <vt:lpstr>SEP!M_Monat</vt:lpstr>
      <vt:lpstr>APR!M_ProdN1</vt:lpstr>
      <vt:lpstr>AUG!M_ProdN1</vt:lpstr>
      <vt:lpstr>DEZ!M_ProdN1</vt:lpstr>
      <vt:lpstr>FEB!M_ProdN1</vt:lpstr>
      <vt:lpstr>JAN!M_ProdN1</vt:lpstr>
      <vt:lpstr>JUL!M_ProdN1</vt:lpstr>
      <vt:lpstr>JUN!M_ProdN1</vt:lpstr>
      <vt:lpstr>MAI!M_ProdN1</vt:lpstr>
      <vt:lpstr>MRZ!M_ProdN1</vt:lpstr>
      <vt:lpstr>NOV!M_ProdN1</vt:lpstr>
      <vt:lpstr>OKT!M_ProdN1</vt:lpstr>
      <vt:lpstr>SEP!M_ProdN1</vt:lpstr>
      <vt:lpstr>APR!M_ProdN2</vt:lpstr>
      <vt:lpstr>AUG!M_ProdN2</vt:lpstr>
      <vt:lpstr>DEZ!M_ProdN2</vt:lpstr>
      <vt:lpstr>FEB!M_ProdN2</vt:lpstr>
      <vt:lpstr>JAN!M_ProdN2</vt:lpstr>
      <vt:lpstr>JUL!M_ProdN2</vt:lpstr>
      <vt:lpstr>JUN!M_ProdN2</vt:lpstr>
      <vt:lpstr>MAI!M_ProdN2</vt:lpstr>
      <vt:lpstr>MRZ!M_ProdN2</vt:lpstr>
      <vt:lpstr>NOV!M_ProdN2</vt:lpstr>
      <vt:lpstr>OKT!M_ProdN2</vt:lpstr>
      <vt:lpstr>SEP!M_ProdN2</vt:lpstr>
      <vt:lpstr>APR!M_ProdTag</vt:lpstr>
      <vt:lpstr>AUG!M_ProdTag</vt:lpstr>
      <vt:lpstr>DEZ!M_ProdTag</vt:lpstr>
      <vt:lpstr>FEB!M_ProdTag</vt:lpstr>
      <vt:lpstr>JAN!M_ProdTag</vt:lpstr>
      <vt:lpstr>JUL!M_ProdTag</vt:lpstr>
      <vt:lpstr>JUN!M_ProdTag</vt:lpstr>
      <vt:lpstr>MAI!M_ProdTag</vt:lpstr>
      <vt:lpstr>MRZ!M_ProdTag</vt:lpstr>
      <vt:lpstr>NOV!M_ProdTag</vt:lpstr>
      <vt:lpstr>OKT!M_ProdTag</vt:lpstr>
      <vt:lpstr>SEP!M_ProdTag</vt:lpstr>
      <vt:lpstr>APR!M_Verweisspalte</vt:lpstr>
      <vt:lpstr>AUG!M_Verweisspalte</vt:lpstr>
      <vt:lpstr>DEZ!M_Verweisspalte</vt:lpstr>
      <vt:lpstr>FEB!M_Verweisspalte</vt:lpstr>
      <vt:lpstr>JAN!M_Verweisspalte</vt:lpstr>
      <vt:lpstr>JUL!M_Verweisspalte</vt:lpstr>
      <vt:lpstr>JUN!M_Verweisspalte</vt:lpstr>
      <vt:lpstr>MAI!M_Verweisspalte</vt:lpstr>
      <vt:lpstr>MRZ!M_Verweisspalte</vt:lpstr>
      <vt:lpstr>NOV!M_Verweisspalte</vt:lpstr>
      <vt:lpstr>OKT!M_Verweisspalte</vt:lpstr>
      <vt:lpstr>SEP!M_Verweisspalte</vt:lpstr>
      <vt:lpstr>APR!M_Verweiszeile</vt:lpstr>
      <vt:lpstr>AUG!M_Verweiszeile</vt:lpstr>
      <vt:lpstr>DEZ!M_Verweiszeile</vt:lpstr>
      <vt:lpstr>FEB!M_Verweiszeile</vt:lpstr>
      <vt:lpstr>JAN!M_Verweiszeile</vt:lpstr>
      <vt:lpstr>JUL!M_Verweiszeile</vt:lpstr>
      <vt:lpstr>JUN!M_Verweiszeile</vt:lpstr>
      <vt:lpstr>MAI!M_Verweiszeile</vt:lpstr>
      <vt:lpstr>MRZ!M_Verweiszeile</vt:lpstr>
      <vt:lpstr>NOV!M_Verweiszeile</vt:lpstr>
      <vt:lpstr>OKT!M_Verweiszeile</vt:lpstr>
      <vt:lpstr>SEP!M_Verweiszeile</vt:lpstr>
      <vt:lpstr>selectedLanguage</vt:lpstr>
      <vt:lpstr>APR!UserAreaAll</vt:lpstr>
      <vt:lpstr>AUG!UserAreaAll</vt:lpstr>
      <vt:lpstr>DEZ!UserAreaAll</vt:lpstr>
      <vt:lpstr>FEB!UserAreaAll</vt:lpstr>
      <vt:lpstr>Jahresauswertung!UserAreaAll</vt:lpstr>
      <vt:lpstr>JAN!UserAreaAll</vt:lpstr>
      <vt:lpstr>JUL!UserAreaAll</vt:lpstr>
      <vt:lpstr>JUN!UserAreaAll</vt:lpstr>
      <vt:lpstr>MAI!UserAreaAll</vt:lpstr>
      <vt:lpstr>MRZ!UserAreaAll</vt:lpstr>
      <vt:lpstr>NOV!UserAreaAll</vt:lpstr>
      <vt:lpstr>OKT!UserAreaAll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Seehafer Peter</cp:lastModifiedBy>
  <cp:revision/>
  <cp:lastPrinted>2023-12-10T22:19:12Z</cp:lastPrinted>
  <dcterms:created xsi:type="dcterms:W3CDTF">2001-11-13T20:07:37Z</dcterms:created>
  <dcterms:modified xsi:type="dcterms:W3CDTF">2023-12-11T06:44:41Z</dcterms:modified>
  <cp:category/>
  <cp:contentStatus/>
</cp:coreProperties>
</file>