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comments6.xml" ContentType="application/vnd.openxmlformats-officedocument.spreadsheetml.comments+xml"/>
  <Override PartName="/xl/drawings/drawing5.xml" ContentType="application/vnd.openxmlformats-officedocument.drawing+xml"/>
  <Override PartName="/xl/comments7.xml" ContentType="application/vnd.openxmlformats-officedocument.spreadsheetml.comments+xml"/>
  <Override PartName="/xl/drawings/drawing6.xml" ContentType="application/vnd.openxmlformats-officedocument.drawing+xml"/>
  <Override PartName="/xl/comments8.xml" ContentType="application/vnd.openxmlformats-officedocument.spreadsheetml.comments+xml"/>
  <Override PartName="/xl/drawings/drawing7.xml" ContentType="application/vnd.openxmlformats-officedocument.drawing+xml"/>
  <Override PartName="/xl/comments9.xml" ContentType="application/vnd.openxmlformats-officedocument.spreadsheetml.comments+xml"/>
  <Override PartName="/xl/drawings/drawing8.xml" ContentType="application/vnd.openxmlformats-officedocument.drawing+xml"/>
  <Override PartName="/xl/comments10.xml" ContentType="application/vnd.openxmlformats-officedocument.spreadsheetml.comments+xml"/>
  <Override PartName="/xl/drawings/drawing9.xml" ContentType="application/vnd.openxmlformats-officedocument.drawing+xml"/>
  <Override PartName="/xl/comments11.xml" ContentType="application/vnd.openxmlformats-officedocument.spreadsheetml.comments+xml"/>
  <Override PartName="/xl/drawings/drawing10.xml" ContentType="application/vnd.openxmlformats-officedocument.drawing+xml"/>
  <Override PartName="/xl/comments12.xml" ContentType="application/vnd.openxmlformats-officedocument.spreadsheetml.comments+xml"/>
  <Override PartName="/xl/drawings/drawing11.xml" ContentType="application/vnd.openxmlformats-officedocument.drawing+xml"/>
  <Override PartName="/xl/comments13.xml" ContentType="application/vnd.openxmlformats-officedocument.spreadsheetml.comments+xml"/>
  <Override PartName="/xl/drawings/drawing12.xml" ContentType="application/vnd.openxmlformats-officedocument.drawing+xml"/>
  <Override PartName="/xl/comments14.xml" ContentType="application/vnd.openxmlformats-officedocument.spreadsheetml.comments+xml"/>
  <Override PartName="/xl/drawings/drawing13.xml" ContentType="application/vnd.openxmlformats-officedocument.drawing+xml"/>
  <Override PartName="/xl/comments15.xml" ContentType="application/vnd.openxmlformats-officedocument.spreadsheetml.comments+xml"/>
  <Override PartName="/xl/drawings/drawing14.xml" ContentType="application/vnd.openxmlformats-officedocument.drawing+xml"/>
  <Override PartName="/xl/comments16.xml" ContentType="application/vnd.openxmlformats-officedocument.spreadsheetml.comments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N:\GAV für das Maler- und Gipsergewerbe\Arbeitszeitkontrolle\2026\Dokumente für Homepage\"/>
    </mc:Choice>
  </mc:AlternateContent>
  <xr:revisionPtr revIDLastSave="0" documentId="13_ncr:1_{1AD2E88F-8E0B-4483-A088-3A61336BDC9C}" xr6:coauthVersionLast="47" xr6:coauthVersionMax="47" xr10:uidLastSave="{00000000-0000-0000-0000-000000000000}"/>
  <workbookProtection workbookAlgorithmName="SHA-512" workbookHashValue="8qCCgvnvLdOjEaSqjzkHQRXGKKe2gsP97C4aajuIML+pIAyPgU3MaAWCg4BUbXdPCWTqcFh1Gsil67w3STG7JA==" workbookSaltValue="sH7hqBPri07xCM5C/y6RTg==" workbookSpinCount="100000" lockStructure="1"/>
  <bookViews>
    <workbookView xWindow="-120" yWindow="-120" windowWidth="29040" windowHeight="15720" tabRatio="883" firstSheet="9" activeTab="9" xr2:uid="{00000000-000D-0000-FFFF-FFFF00000000}"/>
  </bookViews>
  <sheets>
    <sheet name="Admin_Konfig" sheetId="140" state="hidden" r:id="rId1"/>
    <sheet name="Admin_RolloutHelper" sheetId="292" state="veryHidden" r:id="rId2"/>
    <sheet name="H_Basis" sheetId="144" state="veryHidden" r:id="rId3"/>
    <sheet name="H_Calendar" sheetId="143" state="veryHidden" r:id="rId4"/>
    <sheet name="H_Jahr" sheetId="190" state="veryHidden" r:id="rId5"/>
    <sheet name="H_MNT" sheetId="145" state="veryHidden" r:id="rId6"/>
    <sheet name="H_KW" sheetId="141" state="veryHidden" r:id="rId7"/>
    <sheet name="H_Tag" sheetId="157" state="veryHidden" r:id="rId8"/>
    <sheet name="H_Label" sheetId="28" state="veryHidden" r:id="rId9"/>
    <sheet name="fiche du personnel" sheetId="138" r:id="rId10"/>
    <sheet name="JAN" sheetId="135" r:id="rId11"/>
    <sheet name="FEV" sheetId="291" r:id="rId12"/>
    <sheet name="MAR" sheetId="290" r:id="rId13"/>
    <sheet name="AVR" sheetId="289" r:id="rId14"/>
    <sheet name="MAI" sheetId="288" r:id="rId15"/>
    <sheet name="JUN" sheetId="287" r:id="rId16"/>
    <sheet name="JUL" sheetId="286" r:id="rId17"/>
    <sheet name="AOÛ" sheetId="285" r:id="rId18"/>
    <sheet name="SEP" sheetId="284" r:id="rId19"/>
    <sheet name="OCT" sheetId="283" r:id="rId20"/>
    <sheet name="NOV" sheetId="282" r:id="rId21"/>
    <sheet name="DEC" sheetId="281" r:id="rId22"/>
    <sheet name="report annuel" sheetId="139" r:id="rId23"/>
  </sheets>
  <externalReferences>
    <externalReference r:id="rId24"/>
  </externalReferences>
  <definedNames>
    <definedName name="A_Abzughoehe" localSheetId="1">[1]Admin_Konfig!$L$17</definedName>
    <definedName name="A_Abzughoehe">Admin_Konfig!$L$17</definedName>
    <definedName name="A_fldJahrBruttoStd" localSheetId="1">[1]Admin_Konfig!$V$22</definedName>
    <definedName name="A_fldJahrBruttoStd">Admin_Konfig!$V$22</definedName>
    <definedName name="A_fldMaxPhoch">Admin_Konfig!$K$12</definedName>
    <definedName name="A_fldMaxPtief">Admin_Konfig!$K$13</definedName>
    <definedName name="A_fldMaxTagStd" localSheetId="1">[1]Admin_Konfig!$G$24</definedName>
    <definedName name="A_fldMaxTagStd">Admin_Konfig!$G$24</definedName>
    <definedName name="A_fldMaxWStd" localSheetId="1">[1]Admin_Konfig!$G$25</definedName>
    <definedName name="A_fldMaxWStd">Admin_Konfig!$G$25</definedName>
    <definedName name="A_fldMinPhoch" localSheetId="1">[1]Admin_Konfig!$G$12</definedName>
    <definedName name="A_fldMinPhoch">Admin_Konfig!$G$12</definedName>
    <definedName name="A_fldMinPtief">Admin_Konfig!$G$13</definedName>
    <definedName name="A_fldNettoAT" localSheetId="1">[1]Admin_Konfig!$F$8</definedName>
    <definedName name="A_fldNettoAT">Admin_Konfig!$F$8</definedName>
    <definedName name="A_fldSollTagStd" localSheetId="1">[1]Admin_Konfig!$G$22</definedName>
    <definedName name="A_fldSollTagStd">Admin_Konfig!$G$22</definedName>
    <definedName name="A_fldZ1" localSheetId="1">[1]Admin_Konfig!$V$12</definedName>
    <definedName name="A_fldZ1">Admin_Konfig!$V$12</definedName>
    <definedName name="A_fldZ2" localSheetId="1">[1]Admin_Konfig!$V$13</definedName>
    <definedName name="A_fldZ2">Admin_Konfig!$V$13</definedName>
    <definedName name="A_fldZ3" localSheetId="1">[1]Admin_Konfig!$V$14</definedName>
    <definedName name="A_fldZ3">Admin_Konfig!$V$14</definedName>
    <definedName name="A_Jahr" localSheetId="1">[1]Admin_Konfig!$F$3</definedName>
    <definedName name="A_Jahr">Admin_Konfig!$F$3</definedName>
    <definedName name="A_Reiseabzug" localSheetId="1">[1]Admin_Konfig!$O$17</definedName>
    <definedName name="A_Reiseabzug">Admin_Konfig!$O$17</definedName>
    <definedName name="A_Reisezeit" localSheetId="1">[1]Admin_Konfig!$G$17</definedName>
    <definedName name="A_Reisezeit">Admin_Konfig!$G$17</definedName>
    <definedName name="A_SJ">Admin_Konfig!$F$7</definedName>
    <definedName name="anstellungsdetails" comment="Angaben zur Anstellung, wie Pensum und Arbeitstage" localSheetId="17" hidden="1">AOÛ!#REF!</definedName>
    <definedName name="anstellungsdetails" comment="Angaben zur Anstellung, wie Pensum und Arbeitstage" localSheetId="13" hidden="1">AVR!#REF!</definedName>
    <definedName name="anstellungsdetails" comment="Angaben zur Anstellung, wie Pensum und Arbeitstage" localSheetId="21" hidden="1">DEC!#REF!</definedName>
    <definedName name="anstellungsdetails" comment="Angaben zur Anstellung, wie Pensum und Arbeitstage" localSheetId="11" hidden="1">FEV!#REF!</definedName>
    <definedName name="anstellungsdetails" comment="Angaben zur Anstellung, wie Pensum und Arbeitstage" localSheetId="10" hidden="1">JAN!#REF!</definedName>
    <definedName name="anstellungsdetails" comment="Angaben zur Anstellung, wie Pensum und Arbeitstage" localSheetId="16" hidden="1">JUL!#REF!</definedName>
    <definedName name="anstellungsdetails" comment="Angaben zur Anstellung, wie Pensum und Arbeitstage" localSheetId="15" hidden="1">JUN!#REF!</definedName>
    <definedName name="anstellungsdetails" comment="Angaben zur Anstellung, wie Pensum und Arbeitstage" localSheetId="14" hidden="1">MAI!#REF!</definedName>
    <definedName name="anstellungsdetails" comment="Angaben zur Anstellung, wie Pensum und Arbeitstage" localSheetId="12" hidden="1">MAR!#REF!</definedName>
    <definedName name="anstellungsdetails" comment="Angaben zur Anstellung, wie Pensum und Arbeitstage" localSheetId="20" hidden="1">NOV!#REF!</definedName>
    <definedName name="anstellungsdetails" comment="Angaben zur Anstellung, wie Pensum und Arbeitstage" localSheetId="19" hidden="1">OCT!#REF!</definedName>
    <definedName name="anstellungsdetails" comment="Angaben zur Anstellung, wie Pensum und Arbeitstage" localSheetId="22" hidden="1">'report annuel'!#REF!</definedName>
    <definedName name="anstellungsdetails" comment="Angaben zur Anstellung, wie Pensum und Arbeitstage" localSheetId="18" hidden="1">SEP!#REF!</definedName>
    <definedName name="arbeitstage" comment="Arbeitstage MO-FR (alle Monate)" localSheetId="17" hidden="1">AOÛ!#REF!</definedName>
    <definedName name="arbeitstage" comment="Arbeitstage MO-FR (alle Monate)" localSheetId="13" hidden="1">AVR!#REF!</definedName>
    <definedName name="arbeitstage" comment="Arbeitstage MO-FR (alle Monate)" localSheetId="21" hidden="1">DEC!#REF!</definedName>
    <definedName name="arbeitstage" comment="Arbeitstage MO-FR (alle Monate)" localSheetId="11" hidden="1">FEV!#REF!</definedName>
    <definedName name="arbeitstage" comment="Arbeitstage MO-FR (alle Monate)" localSheetId="10" hidden="1">JAN!#REF!</definedName>
    <definedName name="arbeitstage" comment="Arbeitstage MO-FR (alle Monate)" localSheetId="16" hidden="1">JUL!#REF!</definedName>
    <definedName name="arbeitstage" comment="Arbeitstage MO-FR (alle Monate)" localSheetId="15" hidden="1">JUN!#REF!</definedName>
    <definedName name="arbeitstage" comment="Arbeitstage MO-FR (alle Monate)" localSheetId="14" hidden="1">MAI!#REF!</definedName>
    <definedName name="arbeitstage" comment="Arbeitstage MO-FR (alle Monate)" localSheetId="12" hidden="1">MAR!#REF!</definedName>
    <definedName name="arbeitstage" comment="Arbeitstage MO-FR (alle Monate)" localSheetId="20" hidden="1">NOV!#REF!</definedName>
    <definedName name="arbeitstage" comment="Arbeitstage MO-FR (alle Monate)" localSheetId="19" hidden="1">OCT!#REF!</definedName>
    <definedName name="arbeitstage" comment="Arbeitstage MO-FR (alle Monate)" localSheetId="22" hidden="1">'report annuel'!#REF!</definedName>
    <definedName name="arbeitstage" comment="Arbeitstage MO-FR (alle Monate)" localSheetId="18" hidden="1">SEP!#REF!</definedName>
    <definedName name="B_fldEintritt" localSheetId="1">[1]Basisblatt!$AA$9</definedName>
    <definedName name="B_fldEintritt">'fiche du personnel'!$AA$9</definedName>
    <definedName name="B_fldFerienBasis" comment="Basis Ferienguthaben laufendes Jahr" localSheetId="1">[1]Basisblatt!$AB$13</definedName>
    <definedName name="B_fldFerienBasis" comment="Basis Ferienguthaben laufendes Jahr">'fiche du personnel'!$AB$13</definedName>
    <definedName name="B_fldFerienVJ" comment="Feriensaldo Vorjahr (Übertrag)" localSheetId="1">[1]Basisblatt!$K$13</definedName>
    <definedName name="B_fldFerienVJ" comment="Feriensaldo Vorjahr (Übertrag)">'fiche du personnel'!$K$13</definedName>
    <definedName name="B_fldFirma" comment="Firmenbezeichnung">'fiche du personnel'!$G$3</definedName>
    <definedName name="B_fldMA" comment="Mitarbeiter:in">'fiche du personnel'!$G$6</definedName>
    <definedName name="B_fldMntGleich" localSheetId="1">[1]Basisblatt!$F$40</definedName>
    <definedName name="B_fldMntGleich">'fiche du personnel'!$F$40</definedName>
    <definedName name="B_fldSaldoVJ" comment="Stundensaldo Vorjahr (Übertrag)" localSheetId="1">[1]Basisblatt!$K$12</definedName>
    <definedName name="B_fldSaldoVJ" comment="Stundensaldo Vorjahr (Übertrag)">'fiche du personnel'!$K$12</definedName>
    <definedName name="B_fldStichtag" localSheetId="1">[1]Basisblatt!$AE$9</definedName>
    <definedName name="B_fldStichtag">'fiche du personnel'!$AE$9</definedName>
    <definedName name="B_fldTageGleich" localSheetId="1">[1]Basisblatt!$M$40</definedName>
    <definedName name="B_fldTageGleich">'fiche du personnel'!$M$40</definedName>
    <definedName name="B_tblFeiertage" comment="Feiertagskalender" localSheetId="1">[1]Basisblatt!$C$21:$AE$32,[1]Basisblatt!$AF$21,[1]Basisblatt!$AF$23:$AF$32,[1]Basisblatt!$AG$21,[1]Basisblatt!$AG$23,[1]Basisblatt!$AG$25,[1]Basisblatt!$AG$27:$AG$28,[1]Basisblatt!$AG$30,[1]Basisblatt!$AG$32</definedName>
    <definedName name="B_tblFeiertage" comment="Feiertagskalender">'fiche du personnel'!$C$21:$AE$32,'fiche du personnel'!$AF$21,'fiche du personnel'!$AF$23:$AF$32,'fiche du personnel'!$AG$21,'fiche du personnel'!$AG$23,'fiche du personnel'!$AG$25,'fiche du personnel'!$AG$27:$AG$28,'fiche du personnel'!$AG$30,'fiche du personnel'!$AG$32</definedName>
    <definedName name="B_tblFTMatrix" localSheetId="1">[1]Basisblatt!$C$21:$AG$32</definedName>
    <definedName name="B_tblFTMatrix">'fiche du personnel'!$C$21:$AG$32</definedName>
    <definedName name="B_tblPensum">'fiche du personnel'!$E$43:$N$54</definedName>
    <definedName name="beschaeftigungsgrad" comment="Beschäftigungsgrad in Prozent (alle Monate)" localSheetId="17" hidden="1">AOÛ!#REF!</definedName>
    <definedName name="beschaeftigungsgrad" comment="Beschäftigungsgrad in Prozent (alle Monate)" localSheetId="13" hidden="1">AVR!#REF!</definedName>
    <definedName name="beschaeftigungsgrad" comment="Beschäftigungsgrad in Prozent (alle Monate)" localSheetId="21" hidden="1">DEC!#REF!</definedName>
    <definedName name="beschaeftigungsgrad" comment="Beschäftigungsgrad in Prozent (alle Monate)" localSheetId="11" hidden="1">FEV!#REF!</definedName>
    <definedName name="beschaeftigungsgrad" comment="Beschäftigungsgrad in Prozent (alle Monate)" localSheetId="10" hidden="1">JAN!#REF!</definedName>
    <definedName name="beschaeftigungsgrad" comment="Beschäftigungsgrad in Prozent (alle Monate)" localSheetId="16" hidden="1">JUL!#REF!</definedName>
    <definedName name="beschaeftigungsgrad" comment="Beschäftigungsgrad in Prozent (alle Monate)" localSheetId="15" hidden="1">JUN!#REF!</definedName>
    <definedName name="beschaeftigungsgrad" comment="Beschäftigungsgrad in Prozent (alle Monate)" localSheetId="14" hidden="1">MAI!#REF!</definedName>
    <definedName name="beschaeftigungsgrad" comment="Beschäftigungsgrad in Prozent (alle Monate)" localSheetId="12" hidden="1">MAR!#REF!</definedName>
    <definedName name="beschaeftigungsgrad" comment="Beschäftigungsgrad in Prozent (alle Monate)" localSheetId="20" hidden="1">NOV!#REF!</definedName>
    <definedName name="beschaeftigungsgrad" comment="Beschäftigungsgrad in Prozent (alle Monate)" localSheetId="19" hidden="1">OCT!#REF!</definedName>
    <definedName name="beschaeftigungsgrad" comment="Beschäftigungsgrad in Prozent (alle Monate)" localSheetId="22" hidden="1">'report annuel'!#REF!</definedName>
    <definedName name="beschaeftigungsgrad" comment="Beschäftigungsgrad in Prozent (alle Monate)" localSheetId="18" hidden="1">SEP!#REF!</definedName>
    <definedName name="beschaeftigungsgradCalc" comment="Kalkulierter Beschäftigungsgrad des Expertenmodus" localSheetId="17" hidden="1">AOÛ!#REF!</definedName>
    <definedName name="beschaeftigungsgradCalc" comment="Kalkulierter Beschäftigungsgrad des Expertenmodus" localSheetId="13" hidden="1">AVR!#REF!</definedName>
    <definedName name="beschaeftigungsgradCalc" comment="Kalkulierter Beschäftigungsgrad des Expertenmodus" localSheetId="21" hidden="1">DEC!#REF!</definedName>
    <definedName name="beschaeftigungsgradCalc" comment="Kalkulierter Beschäftigungsgrad des Expertenmodus" localSheetId="11" hidden="1">FEV!#REF!</definedName>
    <definedName name="beschaeftigungsgradCalc" comment="Kalkulierter Beschäftigungsgrad des Expertenmodus" localSheetId="10" hidden="1">JAN!#REF!</definedName>
    <definedName name="beschaeftigungsgradCalc" comment="Kalkulierter Beschäftigungsgrad des Expertenmodus" localSheetId="16" hidden="1">JUL!#REF!</definedName>
    <definedName name="beschaeftigungsgradCalc" comment="Kalkulierter Beschäftigungsgrad des Expertenmodus" localSheetId="15" hidden="1">JUN!#REF!</definedName>
    <definedName name="beschaeftigungsgradCalc" comment="Kalkulierter Beschäftigungsgrad des Expertenmodus" localSheetId="14" hidden="1">MAI!#REF!</definedName>
    <definedName name="beschaeftigungsgradCalc" comment="Kalkulierter Beschäftigungsgrad des Expertenmodus" localSheetId="12" hidden="1">MAR!#REF!</definedName>
    <definedName name="beschaeftigungsgradCalc" comment="Kalkulierter Beschäftigungsgrad des Expertenmodus" localSheetId="20" hidden="1">NOV!#REF!</definedName>
    <definedName name="beschaeftigungsgradCalc" comment="Kalkulierter Beschäftigungsgrad des Expertenmodus" localSheetId="19" hidden="1">OCT!#REF!</definedName>
    <definedName name="beschaeftigungsgradCalc" comment="Kalkulierter Beschäftigungsgrad des Expertenmodus" localSheetId="22" hidden="1">'report annuel'!#REF!</definedName>
    <definedName name="beschaeftigungsgradCalc" comment="Kalkulierter Beschäftigungsgrad des Expertenmodus" localSheetId="18" hidden="1">SEP!#REF!</definedName>
    <definedName name="calendarCodeNames" comment="CodeNames für Kalender-Konfig (aktuell, alt und neu)" localSheetId="17" hidden="1">AOÛ!#REF!,AOÛ!#REF!,AOÛ!#REF!</definedName>
    <definedName name="calendarCodeNames" comment="CodeNames für Kalender-Konfig (aktuell, alt und neu)" localSheetId="13" hidden="1">AVR!#REF!,AVR!#REF!,AVR!#REF!</definedName>
    <definedName name="calendarCodeNames" comment="CodeNames für Kalender-Konfig (aktuell, alt und neu)" localSheetId="21" hidden="1">DEC!#REF!,DEC!#REF!,DEC!#REF!</definedName>
    <definedName name="calendarCodeNames" comment="CodeNames für Kalender-Konfig (aktuell, alt und neu)" localSheetId="11" hidden="1">FEV!#REF!,FEV!#REF!,FEV!#REF!</definedName>
    <definedName name="calendarCodeNames" comment="CodeNames für Kalender-Konfig (aktuell, alt und neu)" localSheetId="10" hidden="1">JAN!#REF!,JAN!#REF!,JAN!#REF!</definedName>
    <definedName name="calendarCodeNames" comment="CodeNames für Kalender-Konfig (aktuell, alt und neu)" localSheetId="16" hidden="1">JUL!#REF!,JUL!#REF!,JUL!#REF!</definedName>
    <definedName name="calendarCodeNames" comment="CodeNames für Kalender-Konfig (aktuell, alt und neu)" localSheetId="15" hidden="1">JUN!#REF!,JUN!#REF!,JUN!#REF!</definedName>
    <definedName name="calendarCodeNames" comment="CodeNames für Kalender-Konfig (aktuell, alt und neu)" localSheetId="14" hidden="1">MAI!#REF!,MAI!#REF!,MAI!#REF!</definedName>
    <definedName name="calendarCodeNames" comment="CodeNames für Kalender-Konfig (aktuell, alt und neu)" localSheetId="12" hidden="1">MAR!#REF!,MAR!#REF!,MAR!#REF!</definedName>
    <definedName name="calendarCodeNames" comment="CodeNames für Kalender-Konfig (aktuell, alt und neu)" localSheetId="20" hidden="1">NOV!#REF!,NOV!#REF!,NOV!#REF!</definedName>
    <definedName name="calendarCodeNames" comment="CodeNames für Kalender-Konfig (aktuell, alt und neu)" localSheetId="19" hidden="1">OCT!#REF!,OCT!#REF!,OCT!#REF!</definedName>
    <definedName name="calendarCodeNames" comment="CodeNames für Kalender-Konfig (aktuell, alt und neu)" localSheetId="22" hidden="1">'report annuel'!$AL$45,'report annuel'!#REF!,'report annuel'!$AL$52</definedName>
    <definedName name="calendarCodeNames" comment="CodeNames für Kalender-Konfig (aktuell, alt und neu)" localSheetId="18" hidden="1">SEP!#REF!,SEP!#REF!,SEP!#REF!</definedName>
    <definedName name="calendarNames" comment="Bereich der Kalenderkonfig mit Tab-Namen (aktuell, alt, neu)" localSheetId="17" hidden="1">AOÛ!#REF!,AOÛ!#REF!,AOÛ!#REF!</definedName>
    <definedName name="calendarNames" comment="Bereich der Kalenderkonfig mit Tab-Namen (aktuell, alt, neu)" localSheetId="13" hidden="1">AVR!#REF!,AVR!#REF!,AVR!#REF!</definedName>
    <definedName name="calendarNames" comment="Bereich der Kalenderkonfig mit Tab-Namen (aktuell, alt, neu)" localSheetId="21" hidden="1">DEC!#REF!,DEC!#REF!,DEC!#REF!</definedName>
    <definedName name="calendarNames" comment="Bereich der Kalenderkonfig mit Tab-Namen (aktuell, alt, neu)" localSheetId="11" hidden="1">FEV!#REF!,FEV!#REF!,FEV!#REF!</definedName>
    <definedName name="calendarNames" comment="Bereich der Kalenderkonfig mit Tab-Namen (aktuell, alt, neu)" localSheetId="10" hidden="1">JAN!#REF!,JAN!#REF!,JAN!#REF!</definedName>
    <definedName name="calendarNames" comment="Bereich der Kalenderkonfig mit Tab-Namen (aktuell, alt, neu)" localSheetId="16" hidden="1">JUL!#REF!,JUL!#REF!,JUL!#REF!</definedName>
    <definedName name="calendarNames" comment="Bereich der Kalenderkonfig mit Tab-Namen (aktuell, alt, neu)" localSheetId="15" hidden="1">JUN!#REF!,JUN!#REF!,JUN!#REF!</definedName>
    <definedName name="calendarNames" comment="Bereich der Kalenderkonfig mit Tab-Namen (aktuell, alt, neu)" localSheetId="14" hidden="1">MAI!#REF!,MAI!#REF!,MAI!#REF!</definedName>
    <definedName name="calendarNames" comment="Bereich der Kalenderkonfig mit Tab-Namen (aktuell, alt, neu)" localSheetId="12" hidden="1">MAR!#REF!,MAR!#REF!,MAR!#REF!</definedName>
    <definedName name="calendarNames" comment="Bereich der Kalenderkonfig mit Tab-Namen (aktuell, alt, neu)" localSheetId="20" hidden="1">NOV!#REF!,NOV!#REF!,NOV!#REF!</definedName>
    <definedName name="calendarNames" comment="Bereich der Kalenderkonfig mit Tab-Namen (aktuell, alt, neu)" localSheetId="19" hidden="1">OCT!#REF!,OCT!#REF!,OCT!#REF!</definedName>
    <definedName name="calendarNames" comment="Bereich der Kalenderkonfig mit Tab-Namen (aktuell, alt, neu)" localSheetId="22" hidden="1">'report annuel'!$AR$45,'report annuel'!#REF!,'report annuel'!$AR$52</definedName>
    <definedName name="calendarNames" comment="Bereich der Kalenderkonfig mit Tab-Namen (aktuell, alt, neu)" localSheetId="18" hidden="1">SEP!#REF!,SEP!#REF!,SEP!#REF!</definedName>
    <definedName name="currentCalendarCN" comment="aktueller Kalender intern" localSheetId="17" hidden="1">AOÛ!#REF!</definedName>
    <definedName name="currentCalendarCN" comment="aktueller Kalender intern" localSheetId="13" hidden="1">AVR!#REF!</definedName>
    <definedName name="currentCalendarCN" comment="aktueller Kalender intern" localSheetId="21" hidden="1">DEC!#REF!</definedName>
    <definedName name="currentCalendarCN" comment="aktueller Kalender intern" localSheetId="11" hidden="1">FEV!#REF!</definedName>
    <definedName name="currentCalendarCN" comment="aktueller Kalender intern" localSheetId="10" hidden="1">JAN!#REF!</definedName>
    <definedName name="currentCalendarCN" comment="aktueller Kalender intern" localSheetId="16" hidden="1">JUL!#REF!</definedName>
    <definedName name="currentCalendarCN" comment="aktueller Kalender intern" localSheetId="15" hidden="1">JUN!#REF!</definedName>
    <definedName name="currentCalendarCN" comment="aktueller Kalender intern" localSheetId="14" hidden="1">MAI!#REF!</definedName>
    <definedName name="currentCalendarCN" comment="aktueller Kalender intern" localSheetId="12" hidden="1">MAR!#REF!</definedName>
    <definedName name="currentCalendarCN" comment="aktueller Kalender intern" localSheetId="20" hidden="1">NOV!#REF!</definedName>
    <definedName name="currentCalendarCN" comment="aktueller Kalender intern" localSheetId="19" hidden="1">OCT!#REF!</definedName>
    <definedName name="currentCalendarCN" comment="aktueller Kalender intern" localSheetId="22" hidden="1">'report annuel'!$AL$45</definedName>
    <definedName name="currentCalendarCN" comment="aktueller Kalender intern" localSheetId="18" hidden="1">SEP!#REF!</definedName>
    <definedName name="currentCalendarN" comment="aktueller Kalender" localSheetId="17" hidden="1">AOÛ!#REF!</definedName>
    <definedName name="currentCalendarN" comment="aktueller Kalender" localSheetId="13" hidden="1">AVR!#REF!</definedName>
    <definedName name="currentCalendarN" comment="aktueller Kalender" localSheetId="21" hidden="1">DEC!#REF!</definedName>
    <definedName name="currentCalendarN" comment="aktueller Kalender" localSheetId="11" hidden="1">FEV!#REF!</definedName>
    <definedName name="currentCalendarN" comment="aktueller Kalender" localSheetId="10" hidden="1">JAN!#REF!</definedName>
    <definedName name="currentCalendarN" comment="aktueller Kalender" localSheetId="16" hidden="1">JUL!#REF!</definedName>
    <definedName name="currentCalendarN" comment="aktueller Kalender" localSheetId="15" hidden="1">JUN!#REF!</definedName>
    <definedName name="currentCalendarN" comment="aktueller Kalender" localSheetId="14" hidden="1">MAI!#REF!</definedName>
    <definedName name="currentCalendarN" comment="aktueller Kalender" localSheetId="12" hidden="1">MAR!#REF!</definedName>
    <definedName name="currentCalendarN" comment="aktueller Kalender" localSheetId="20" hidden="1">NOV!#REF!</definedName>
    <definedName name="currentCalendarN" comment="aktueller Kalender" localSheetId="19" hidden="1">OCT!#REF!</definedName>
    <definedName name="currentCalendarN" comment="aktueller Kalender" localSheetId="22" hidden="1">'report annuel'!$AR$45</definedName>
    <definedName name="currentCalendarN" comment="aktueller Kalender" localSheetId="18" hidden="1">SEP!#REF!</definedName>
    <definedName name="D_Debug" localSheetId="1">[1]H_Basis!$P$4</definedName>
    <definedName name="D_Debug">H_Basis!$P$4</definedName>
    <definedName name="_xlnm.Print_Area" localSheetId="17">AOÛ!$D$6:$AJ$64</definedName>
    <definedName name="_xlnm.Print_Area" localSheetId="13">AVR!$D$6:$AJ$64</definedName>
    <definedName name="_xlnm.Print_Area" localSheetId="21">DEC!$D$6:$AJ$64</definedName>
    <definedName name="_xlnm.Print_Area" localSheetId="11">FEV!$D$6:$AJ$64</definedName>
    <definedName name="_xlnm.Print_Area" localSheetId="9">'fiche du personnel'!$A$1:$AH$56</definedName>
    <definedName name="_xlnm.Print_Area" localSheetId="10">JAN!$D$6:$AJ$64</definedName>
    <definedName name="_xlnm.Print_Area" localSheetId="16">JUL!$D$6:$AJ$64</definedName>
    <definedName name="_xlnm.Print_Area" localSheetId="15">JUN!$D$6:$AJ$64</definedName>
    <definedName name="_xlnm.Print_Area" localSheetId="14">MAI!$D$6:$AJ$64</definedName>
    <definedName name="_xlnm.Print_Area" localSheetId="12">MAR!$D$6:$AJ$64</definedName>
    <definedName name="_xlnm.Print_Area" localSheetId="20">NOV!$D$6:$AJ$64</definedName>
    <definedName name="_xlnm.Print_Area" localSheetId="19">OCT!$D$6:$AJ$64</definedName>
    <definedName name="_xlnm.Print_Area" localSheetId="22">'report annuel'!$B$2:$AG$54</definedName>
    <definedName name="_xlnm.Print_Area" localSheetId="18">SEP!$D$6:$AJ$64</definedName>
    <definedName name="einPensum" comment="Legt feste, ob die Anstellungsmodalitäten in der Konfiguration gleich geschaltet werden sollen (Vorgabe: Januar)" localSheetId="17" hidden="1">AOÛ!#REF!</definedName>
    <definedName name="einPensum" comment="Legt feste, ob die Anstellungsmodalitäten in der Konfiguration gleich geschaltet werden sollen (Vorgabe: Januar)" localSheetId="13" hidden="1">AVR!#REF!</definedName>
    <definedName name="einPensum" comment="Legt feste, ob die Anstellungsmodalitäten in der Konfiguration gleich geschaltet werden sollen (Vorgabe: Januar)" localSheetId="21" hidden="1">DEC!#REF!</definedName>
    <definedName name="einPensum" comment="Legt feste, ob die Anstellungsmodalitäten in der Konfiguration gleich geschaltet werden sollen (Vorgabe: Januar)" localSheetId="11" hidden="1">FEV!#REF!</definedName>
    <definedName name="einPensum" comment="Legt feste, ob die Anstellungsmodalitäten in der Konfiguration gleich geschaltet werden sollen (Vorgabe: Januar)" localSheetId="10" hidden="1">JAN!#REF!</definedName>
    <definedName name="einPensum" comment="Legt feste, ob die Anstellungsmodalitäten in der Konfiguration gleich geschaltet werden sollen (Vorgabe: Januar)" localSheetId="16" hidden="1">JUL!#REF!</definedName>
    <definedName name="einPensum" comment="Legt feste, ob die Anstellungsmodalitäten in der Konfiguration gleich geschaltet werden sollen (Vorgabe: Januar)" localSheetId="15" hidden="1">JUN!#REF!</definedName>
    <definedName name="einPensum" comment="Legt feste, ob die Anstellungsmodalitäten in der Konfiguration gleich geschaltet werden sollen (Vorgabe: Januar)" localSheetId="14" hidden="1">MAI!#REF!</definedName>
    <definedName name="einPensum" comment="Legt feste, ob die Anstellungsmodalitäten in der Konfiguration gleich geschaltet werden sollen (Vorgabe: Januar)" localSheetId="12" hidden="1">MAR!#REF!</definedName>
    <definedName name="einPensum" comment="Legt feste, ob die Anstellungsmodalitäten in der Konfiguration gleich geschaltet werden sollen (Vorgabe: Januar)" localSheetId="20" hidden="1">NOV!#REF!</definedName>
    <definedName name="einPensum" comment="Legt feste, ob die Anstellungsmodalitäten in der Konfiguration gleich geschaltet werden sollen (Vorgabe: Januar)" localSheetId="19" hidden="1">OCT!#REF!</definedName>
    <definedName name="einPensum" comment="Legt feste, ob die Anstellungsmodalitäten in der Konfiguration gleich geschaltet werden sollen (Vorgabe: Januar)" localSheetId="22" hidden="1">'report annuel'!#REF!</definedName>
    <definedName name="einPensum" comment="Legt feste, ob die Anstellungsmodalitäten in der Konfiguration gleich geschaltet werden sollen (Vorgabe: Januar)" localSheetId="18" hidden="1">SEP!#REF!</definedName>
    <definedName name="expertenmodusAktiv" comment="Lege fest, ob das Pensum im Expertenmodus festgelegt wird" localSheetId="17" hidden="1">AOÛ!#REF!</definedName>
    <definedName name="expertenmodusAktiv" comment="Lege fest, ob das Pensum im Expertenmodus festgelegt wird" localSheetId="13" hidden="1">AVR!#REF!</definedName>
    <definedName name="expertenmodusAktiv" comment="Lege fest, ob das Pensum im Expertenmodus festgelegt wird" localSheetId="21" hidden="1">DEC!#REF!</definedName>
    <definedName name="expertenmodusAktiv" comment="Lege fest, ob das Pensum im Expertenmodus festgelegt wird" localSheetId="11" hidden="1">FEV!#REF!</definedName>
    <definedName name="expertenmodusAktiv" comment="Lege fest, ob das Pensum im Expertenmodus festgelegt wird" localSheetId="10" hidden="1">JAN!#REF!</definedName>
    <definedName name="expertenmodusAktiv" comment="Lege fest, ob das Pensum im Expertenmodus festgelegt wird" localSheetId="16" hidden="1">JUL!#REF!</definedName>
    <definedName name="expertenmodusAktiv" comment="Lege fest, ob das Pensum im Expertenmodus festgelegt wird" localSheetId="15" hidden="1">JUN!#REF!</definedName>
    <definedName name="expertenmodusAktiv" comment="Lege fest, ob das Pensum im Expertenmodus festgelegt wird" localSheetId="14" hidden="1">MAI!#REF!</definedName>
    <definedName name="expertenmodusAktiv" comment="Lege fest, ob das Pensum im Expertenmodus festgelegt wird" localSheetId="12" hidden="1">MAR!#REF!</definedName>
    <definedName name="expertenmodusAktiv" comment="Lege fest, ob das Pensum im Expertenmodus festgelegt wird" localSheetId="20" hidden="1">NOV!#REF!</definedName>
    <definedName name="expertenmodusAktiv" comment="Lege fest, ob das Pensum im Expertenmodus festgelegt wird" localSheetId="19" hidden="1">OCT!#REF!</definedName>
    <definedName name="expertenmodusAktiv" comment="Lege fest, ob das Pensum im Expertenmodus festgelegt wird" localSheetId="22" hidden="1">'report annuel'!#REF!</definedName>
    <definedName name="expertenmodusAktiv" comment="Lege fest, ob das Pensum im Expertenmodus festgelegt wird" localSheetId="18" hidden="1">SEP!#REF!</definedName>
    <definedName name="ftFormula" comment="Formeln zur Ermittlung der Feiertage" localSheetId="17" hidden="1">AOÛ!#REF!,AOÛ!#REF!,AOÛ!#REF!,AOÛ!#REF!,AOÛ!#REF!,AOÛ!#REF!,AOÛ!#REF!,AOÛ!#REF!,AOÛ!#REF!,AOÛ!#REF!,AOÛ!#REF!,AOÛ!#REF!</definedName>
    <definedName name="ftFormula" comment="Formeln zur Ermittlung der Feiertage" localSheetId="13" hidden="1">AVR!#REF!,AVR!#REF!,AVR!#REF!,AVR!#REF!,AVR!#REF!,AVR!#REF!,AVR!#REF!,AVR!#REF!,AVR!#REF!,AVR!#REF!,AVR!#REF!,AVR!#REF!</definedName>
    <definedName name="ftFormula" comment="Formeln zur Ermittlung der Feiertage" localSheetId="21" hidden="1">DEC!#REF!,DEC!#REF!,DEC!#REF!,DEC!#REF!,DEC!#REF!,DEC!#REF!,DEC!#REF!,DEC!#REF!,DEC!#REF!,DEC!#REF!,DEC!#REF!,DEC!#REF!</definedName>
    <definedName name="ftFormula" comment="Formeln zur Ermittlung der Feiertage" localSheetId="11" hidden="1">FEV!#REF!,FEV!#REF!,FEV!#REF!,FEV!#REF!,FEV!#REF!,FEV!#REF!,FEV!#REF!,FEV!#REF!,FEV!#REF!,FEV!#REF!,FEV!#REF!,FEV!#REF!</definedName>
    <definedName name="ftFormula" comment="Formeln zur Ermittlung der Feiertage" localSheetId="10" hidden="1">JAN!#REF!,JAN!#REF!,JAN!#REF!,JAN!#REF!,JAN!#REF!,JAN!#REF!,JAN!#REF!,JAN!#REF!,JAN!#REF!,JAN!#REF!,JAN!#REF!,JAN!#REF!</definedName>
    <definedName name="ftFormula" comment="Formeln zur Ermittlung der Feiertage" localSheetId="16" hidden="1">JUL!#REF!,JUL!#REF!,JUL!#REF!,JUL!#REF!,JUL!#REF!,JUL!#REF!,JUL!#REF!,JUL!#REF!,JUL!#REF!,JUL!#REF!,JUL!#REF!,JUL!#REF!</definedName>
    <definedName name="ftFormula" comment="Formeln zur Ermittlung der Feiertage" localSheetId="15" hidden="1">JUN!#REF!,JUN!#REF!,JUN!#REF!,JUN!#REF!,JUN!#REF!,JUN!#REF!,JUN!#REF!,JUN!#REF!,JUN!#REF!,JUN!#REF!,JUN!#REF!,JUN!#REF!</definedName>
    <definedName name="ftFormula" comment="Formeln zur Ermittlung der Feiertage" localSheetId="14" hidden="1">MAI!#REF!,MAI!#REF!,MAI!#REF!,MAI!#REF!,MAI!#REF!,MAI!#REF!,MAI!#REF!,MAI!#REF!,MAI!#REF!,MAI!#REF!,MAI!#REF!,MAI!#REF!</definedName>
    <definedName name="ftFormula" comment="Formeln zur Ermittlung der Feiertage" localSheetId="12" hidden="1">MAR!#REF!,MAR!#REF!,MAR!#REF!,MAR!#REF!,MAR!#REF!,MAR!#REF!,MAR!#REF!,MAR!#REF!,MAR!#REF!,MAR!#REF!,MAR!#REF!,MAR!#REF!</definedName>
    <definedName name="ftFormula" comment="Formeln zur Ermittlung der Feiertage" localSheetId="20" hidden="1">NOV!#REF!,NOV!#REF!,NOV!#REF!,NOV!#REF!,NOV!#REF!,NOV!#REF!,NOV!#REF!,NOV!#REF!,NOV!#REF!,NOV!#REF!,NOV!#REF!,NOV!#REF!</definedName>
    <definedName name="ftFormula" comment="Formeln zur Ermittlung der Feiertage" localSheetId="19" hidden="1">OCT!#REF!,OCT!#REF!,OCT!#REF!,OCT!#REF!,OCT!#REF!,OCT!#REF!,OCT!#REF!,OCT!#REF!,OCT!#REF!,OCT!#REF!,OCT!#REF!,OCT!#REF!</definedName>
    <definedName name="ftFormula" comment="Formeln zur Ermittlung der Feiertage" localSheetId="22" hidden="1">'report annuel'!$C$24:$AG$24,'report annuel'!#REF!,'report annuel'!#REF!,'report annuel'!#REF!,'report annuel'!#REF!,'report annuel'!#REF!,'report annuel'!#REF!,'report annuel'!#REF!,'report annuel'!#REF!,'report annuel'!#REF!,'report annuel'!#REF!,'report annuel'!#REF!</definedName>
    <definedName name="ftFormula" comment="Formeln zur Ermittlung der Feiertage" localSheetId="18" hidden="1">SEP!#REF!,SEP!#REF!,SEP!#REF!,SEP!#REF!,SEP!#REF!,SEP!#REF!,SEP!#REF!,SEP!#REF!,SEP!#REF!,SEP!#REF!,SEP!#REF!,SEP!#REF!</definedName>
    <definedName name="H_dFT">H_Calendar!$K$10:$K$375</definedName>
    <definedName name="H_dHelperMnt" localSheetId="1">[1]H_KW!$F$10:$BH$10</definedName>
    <definedName name="H_dHelperMnt">H_KW!$F$10:$BH$10</definedName>
    <definedName name="H_dKW" localSheetId="1">[1]H_Calendar!$G$10:$G$375</definedName>
    <definedName name="H_dKW">H_Calendar!$G$10:$G$375</definedName>
    <definedName name="h_dKW1" localSheetId="1">[1]H_KW!$F$11:$BH$11</definedName>
    <definedName name="h_dKW1">H_KW!$F$11:$BH$11</definedName>
    <definedName name="H_dKWZ1w" localSheetId="1">[1]H_KW!$F$20:$BH$20</definedName>
    <definedName name="H_dKWZ1w">H_KW!$F$20:$BH$20</definedName>
    <definedName name="H_dMnt" localSheetId="1">[1]H_Calendar!$E$10:$E$375</definedName>
    <definedName name="H_dMnt">H_Calendar!$E$10:$E$375</definedName>
    <definedName name="H_dMNTCurrentSaldo" localSheetId="1">[1]H_MNT!$J$98:$U$98</definedName>
    <definedName name="H_dMNTCurrentSaldo">H_MNT!$J$98:$U$98</definedName>
    <definedName name="H_dProdToz" localSheetId="1">[1]H_Calendar!$X$10:$X$375</definedName>
    <definedName name="H_dProdToz">H_Calendar!$Z$10:$Z$375</definedName>
    <definedName name="h_dProdWoz" localSheetId="1">[1]H_KW!$F$18:$BH$18</definedName>
    <definedName name="h_dProdWoz">H_KW!$F$18:$BH$18</definedName>
    <definedName name="H_dSoll100" localSheetId="1">[1]H_Calendar!$P$10:$P$375</definedName>
    <definedName name="H_dSoll100">H_Calendar!$P$10:$P$375</definedName>
    <definedName name="H_dSollBG" localSheetId="1">[1]H_Calendar!$R$10:$R$375</definedName>
    <definedName name="H_dSollBG">H_Calendar!$R$10:$R$375</definedName>
    <definedName name="h_fldAnZFT" localSheetId="1">[1]H_MNT!$V$173</definedName>
    <definedName name="h_fldAnZFT">H_MNT!$V$173</definedName>
    <definedName name="H_fldFerienCalc" localSheetId="1">[1]H_Basis!$P$35</definedName>
    <definedName name="H_fldFerienCalc">H_Basis!$P$35</definedName>
    <definedName name="H_fldFerienCalcVsmgv" localSheetId="1">[1]H_Basis!$W$74</definedName>
    <definedName name="H_fldFerienCalcVsmgv">H_Basis!$W$74</definedName>
    <definedName name="H_fldFerienEndSaldo" localSheetId="1">[1]H_MNT!$W$184</definedName>
    <definedName name="H_fldFerienEndSaldo">H_MNT!$W$184</definedName>
    <definedName name="H_fldFerienKalkBG">H_Basis!$W$74</definedName>
    <definedName name="H_fldFerienPerStichtag">H_Basis!$D$55</definedName>
    <definedName name="H_fldFerienSaldoKORR" localSheetId="1">[1]H_MNT!$W$182</definedName>
    <definedName name="H_fldFerienSaldoKORR">H_MNT!$W$182</definedName>
    <definedName name="H_fldFerienStartsaldo">H_MNT!$I$184</definedName>
    <definedName name="H_tblBG" localSheetId="1">[1]H_Basis!$E$62:$I$73</definedName>
    <definedName name="H_tblBG">H_Basis!$E$62:$I$73</definedName>
    <definedName name="H_tblBGavg" localSheetId="1">[1]H_Basis!$D$62:$D$73</definedName>
    <definedName name="H_tblBGavg">H_Basis!$D$62:$D$73</definedName>
    <definedName name="H_tblBGMnt" localSheetId="1">[1]H_Basis!$B$62:$B$73</definedName>
    <definedName name="H_tblBGMnt">H_Basis!$B$62:$B$73</definedName>
    <definedName name="H_tblBGTage" localSheetId="1">[1]H_Basis!$E$75:$I$75</definedName>
    <definedName name="H_tblBGTage">H_Basis!$E$75:$I$75</definedName>
    <definedName name="hoursPerDay" localSheetId="17" hidden="1">AOÛ!#REF!</definedName>
    <definedName name="hoursPerDay" localSheetId="13" hidden="1">AVR!#REF!</definedName>
    <definedName name="hoursPerDay" localSheetId="21" hidden="1">DEC!#REF!</definedName>
    <definedName name="hoursPerDay" localSheetId="11" hidden="1">FEV!#REF!</definedName>
    <definedName name="hoursPerDay" localSheetId="10" hidden="1">JAN!#REF!</definedName>
    <definedName name="hoursPerDay" localSheetId="16" hidden="1">JUL!#REF!</definedName>
    <definedName name="hoursPerDay" localSheetId="15" hidden="1">JUN!#REF!</definedName>
    <definedName name="hoursPerDay" localSheetId="14" hidden="1">MAI!#REF!</definedName>
    <definedName name="hoursPerDay" localSheetId="12" hidden="1">MAR!#REF!</definedName>
    <definedName name="hoursPerDay" localSheetId="20" hidden="1">NOV!#REF!</definedName>
    <definedName name="hoursPerDay" localSheetId="19" hidden="1">OCT!#REF!</definedName>
    <definedName name="hoursPerDay" localSheetId="22" hidden="1">'report annuel'!$K$4</definedName>
    <definedName name="hoursPerDay" localSheetId="18" hidden="1">SEP!#REF!</definedName>
    <definedName name="istSchaltjahr" localSheetId="17" hidden="1">AOÛ!#REF!</definedName>
    <definedName name="istSchaltjahr" localSheetId="13" hidden="1">AVR!#REF!</definedName>
    <definedName name="istSchaltjahr" localSheetId="21" hidden="1">DEC!#REF!</definedName>
    <definedName name="istSchaltjahr" localSheetId="11" hidden="1">FEV!#REF!</definedName>
    <definedName name="istSchaltjahr" localSheetId="10" hidden="1">JAN!#REF!</definedName>
    <definedName name="istSchaltjahr" localSheetId="16" hidden="1">JUL!#REF!</definedName>
    <definedName name="istSchaltjahr" localSheetId="15" hidden="1">JUN!#REF!</definedName>
    <definedName name="istSchaltjahr" localSheetId="14" hidden="1">MAI!#REF!</definedName>
    <definedName name="istSchaltjahr" localSheetId="12" hidden="1">MAR!#REF!</definedName>
    <definedName name="istSchaltjahr" localSheetId="20" hidden="1">NOV!#REF!</definedName>
    <definedName name="istSchaltjahr" localSheetId="19" hidden="1">OCT!#REF!</definedName>
    <definedName name="istSchaltjahr" localSheetId="22" hidden="1">'report annuel'!$AQ$41</definedName>
    <definedName name="istSchaltjahr" localSheetId="18" hidden="1">SEP!#REF!</definedName>
    <definedName name="L_Sprache">H_Label!$A$7:$A$10</definedName>
    <definedName name="Label_QA1">H_Label!$B$22</definedName>
    <definedName name="Label_QA2">H_Label!$B$220</definedName>
    <definedName name="Label_QA3">H_Label!$B$320</definedName>
    <definedName name="Label_QA4">H_Label!$B$500</definedName>
    <definedName name="languages" localSheetId="17" hidden="1">#REF!</definedName>
    <definedName name="languages" localSheetId="13" hidden="1">#REF!</definedName>
    <definedName name="languages" localSheetId="21" hidden="1">#REF!</definedName>
    <definedName name="languages" localSheetId="11" hidden="1">#REF!</definedName>
    <definedName name="languages" localSheetId="10" hidden="1">#REF!</definedName>
    <definedName name="languages" localSheetId="16" hidden="1">#REF!</definedName>
    <definedName name="languages" localSheetId="15" hidden="1">#REF!</definedName>
    <definedName name="languages" localSheetId="14" hidden="1">#REF!</definedName>
    <definedName name="languages" localSheetId="12" hidden="1">#REF!</definedName>
    <definedName name="languages" localSheetId="20" hidden="1">#REF!</definedName>
    <definedName name="languages" localSheetId="19" hidden="1">#REF!</definedName>
    <definedName name="languages" localSheetId="22" hidden="1">#REF!</definedName>
    <definedName name="languages" localSheetId="18" hidden="1">#REF!</definedName>
    <definedName name="M_Ausschluss" localSheetId="17">AOÛ!$F$54:$AJ$54</definedName>
    <definedName name="M_Ausschluss" localSheetId="13">AVR!$F$54:$AJ$54</definedName>
    <definedName name="M_Ausschluss" localSheetId="21">DEC!$F$54:$AJ$54</definedName>
    <definedName name="M_Ausschluss" localSheetId="11">FEV!$F$54:$AJ$54</definedName>
    <definedName name="M_Ausschluss" localSheetId="10">JAN!$F$54:$AJ$54</definedName>
    <definedName name="M_Ausschluss" localSheetId="16">JUL!$F$54:$AJ$54</definedName>
    <definedName name="M_Ausschluss" localSheetId="15">JUN!$F$54:$AJ$54</definedName>
    <definedName name="M_Ausschluss" localSheetId="14">MAI!$F$54:$AJ$54</definedName>
    <definedName name="M_Ausschluss" localSheetId="12">MAR!$F$54:$AJ$54</definedName>
    <definedName name="M_Ausschluss" localSheetId="20">NOV!$F$54:$AJ$54</definedName>
    <definedName name="M_Ausschluss" localSheetId="19">OCT!$F$54:$AJ$54</definedName>
    <definedName name="M_Ausschluss" localSheetId="18">SEP!$F$54:$AJ$54</definedName>
    <definedName name="M_Daten" localSheetId="17">AOÛ!$F$18:$AJ$18</definedName>
    <definedName name="M_Daten" localSheetId="13">AVR!$F$18:$AJ$18</definedName>
    <definedName name="M_Daten" localSheetId="21">DEC!$F$18:$AJ$18</definedName>
    <definedName name="M_Daten" localSheetId="11">FEV!$F$18:$AJ$18</definedName>
    <definedName name="M_Daten" localSheetId="10">JAN!$F$18:$AJ$18</definedName>
    <definedName name="M_Daten" localSheetId="16">JUL!$F$18:$AJ$18</definedName>
    <definedName name="M_Daten" localSheetId="15">JUN!$F$18:$AJ$18</definedName>
    <definedName name="M_Daten" localSheetId="14">MAI!$F$18:$AJ$18</definedName>
    <definedName name="M_Daten" localSheetId="12">MAR!$F$18:$AJ$18</definedName>
    <definedName name="M_Daten" localSheetId="20">NOV!$F$18:$AJ$18</definedName>
    <definedName name="M_Daten" localSheetId="19">OCT!$F$18:$AJ$18</definedName>
    <definedName name="M_Daten" localSheetId="18">SEP!$F$18:$AJ$18</definedName>
    <definedName name="M_MntKontrolle" localSheetId="17">AOÛ!$F$14:$AJ$14</definedName>
    <definedName name="M_MntKontrolle" localSheetId="13">AVR!$F$14:$AJ$14</definedName>
    <definedName name="M_MntKontrolle" localSheetId="21">DEC!$F$14:$AJ$14</definedName>
    <definedName name="M_MntKontrolle" localSheetId="11">FEV!$F$14:$AJ$14</definedName>
    <definedName name="M_MntKontrolle" localSheetId="10">JAN!$F$14:$AJ$14</definedName>
    <definedName name="M_MntKontrolle" localSheetId="16">JUL!$F$14:$AJ$14</definedName>
    <definedName name="M_MntKontrolle" localSheetId="15">JUN!$F$14:$AJ$14</definedName>
    <definedName name="M_MntKontrolle" localSheetId="14">MAI!$F$14:$AJ$14</definedName>
    <definedName name="M_MntKontrolle" localSheetId="12">MAR!$F$14:$AJ$14</definedName>
    <definedName name="M_MntKontrolle" localSheetId="20">NOV!$F$14:$AJ$14</definedName>
    <definedName name="M_MntKontrolle" localSheetId="19">OCT!$F$14:$AJ$14</definedName>
    <definedName name="M_MntKontrolle" localSheetId="18">SEP!$F$14:$AJ$14</definedName>
    <definedName name="M_Monat" localSheetId="17">AOÛ!$AM$13</definedName>
    <definedName name="M_Monat" localSheetId="13">AVR!$AM$13</definedName>
    <definedName name="M_Monat" localSheetId="21">DEC!$AM$13</definedName>
    <definedName name="M_Monat" localSheetId="11">FEV!$AM$13</definedName>
    <definedName name="M_Monat" localSheetId="10">JAN!$AM$13</definedName>
    <definedName name="M_Monat" localSheetId="16">JUL!$AM$13</definedName>
    <definedName name="M_Monat" localSheetId="15">JUN!$AM$13</definedName>
    <definedName name="M_Monat" localSheetId="14">MAI!$AM$13</definedName>
    <definedName name="M_Monat" localSheetId="12">MAR!$AM$13</definedName>
    <definedName name="M_Monat" localSheetId="20">NOV!$AM$13</definedName>
    <definedName name="M_Monat" localSheetId="19">OCT!$AM$13</definedName>
    <definedName name="M_Monat" localSheetId="18">SEP!$AM$13</definedName>
    <definedName name="M_ProdN1" localSheetId="17">AOÛ!$F$23:$AJ$23</definedName>
    <definedName name="M_ProdN1" localSheetId="13">AVR!$F$23:$AJ$23</definedName>
    <definedName name="M_ProdN1" localSheetId="21">DEC!$F$23:$AJ$23</definedName>
    <definedName name="M_ProdN1" localSheetId="11">FEV!$F$23:$AJ$23</definedName>
    <definedName name="M_ProdN1" localSheetId="10">JAN!$F$23:$AJ$23</definedName>
    <definedName name="M_ProdN1" localSheetId="16">JUL!$F$23:$AJ$23</definedName>
    <definedName name="M_ProdN1" localSheetId="15">JUN!$F$23:$AJ$23</definedName>
    <definedName name="M_ProdN1" localSheetId="14">MAI!$F$23:$AJ$23</definedName>
    <definedName name="M_ProdN1" localSheetId="12">MAR!$F$23:$AJ$23</definedName>
    <definedName name="M_ProdN1" localSheetId="20">NOV!$F$23:$AJ$23</definedName>
    <definedName name="M_ProdN1" localSheetId="19">OCT!$F$23:$AJ$23</definedName>
    <definedName name="M_ProdN1" localSheetId="18">SEP!$F$23:$AJ$23</definedName>
    <definedName name="M_ProdN2" localSheetId="17">AOÛ!$F$25:$AJ$25</definedName>
    <definedName name="M_ProdN2" localSheetId="13">AVR!$F$25:$AJ$25</definedName>
    <definedName name="M_ProdN2" localSheetId="21">DEC!$F$25:$AJ$25</definedName>
    <definedName name="M_ProdN2" localSheetId="11">FEV!$F$25:$AJ$25</definedName>
    <definedName name="M_ProdN2" localSheetId="10">JAN!$F$25:$AJ$25</definedName>
    <definedName name="M_ProdN2" localSheetId="16">JUL!$F$25:$AJ$25</definedName>
    <definedName name="M_ProdN2" localSheetId="15">JUN!$F$25:$AJ$25</definedName>
    <definedName name="M_ProdN2" localSheetId="14">MAI!$F$25:$AJ$25</definedName>
    <definedName name="M_ProdN2" localSheetId="12">MAR!$F$25:$AJ$25</definedName>
    <definedName name="M_ProdN2" localSheetId="20">NOV!$F$25:$AJ$25</definedName>
    <definedName name="M_ProdN2" localSheetId="19">OCT!$F$25:$AJ$25</definedName>
    <definedName name="M_ProdN2" localSheetId="18">SEP!$F$25:$AJ$25</definedName>
    <definedName name="M_ProdTag" localSheetId="17">AOÛ!$F$24:$AJ$24</definedName>
    <definedName name="M_ProdTag" localSheetId="13">AVR!$F$24:$AJ$24</definedName>
    <definedName name="M_ProdTag" localSheetId="21">DEC!$F$24:$AJ$24</definedName>
    <definedName name="M_ProdTag" localSheetId="11">FEV!$F$24:$AJ$24</definedName>
    <definedName name="M_ProdTag" localSheetId="10">JAN!$F$24:$AJ$24</definedName>
    <definedName name="M_ProdTag" localSheetId="16">JUL!$F$24:$AJ$24</definedName>
    <definedName name="M_ProdTag" localSheetId="15">JUN!$F$24:$AJ$24</definedName>
    <definedName name="M_ProdTag" localSheetId="14">MAI!$F$24:$AJ$24</definedName>
    <definedName name="M_ProdTag" localSheetId="12">MAR!$F$24:$AJ$24</definedName>
    <definedName name="M_ProdTag" localSheetId="20">NOV!$F$24:$AJ$24</definedName>
    <definedName name="M_ProdTag" localSheetId="19">OCT!$F$24:$AJ$24</definedName>
    <definedName name="M_ProdTag" localSheetId="18">SEP!$F$24:$AJ$24</definedName>
    <definedName name="M_Reise" localSheetId="17">AOÛ!$F$26:$AJ$26</definedName>
    <definedName name="M_Reise" localSheetId="13">AVR!$F$26:$AJ$26</definedName>
    <definedName name="M_Reise" localSheetId="21">DEC!$F$26:$AJ$26</definedName>
    <definedName name="M_Reise" localSheetId="11">FEV!$F$26:$AJ$26</definedName>
    <definedName name="M_Reise" localSheetId="10">JAN!$F$26:$AJ$26</definedName>
    <definedName name="M_Reise" localSheetId="16">JUL!$F$26:$AJ$26</definedName>
    <definedName name="M_Reise" localSheetId="15">JUN!$F$26:$AJ$26</definedName>
    <definedName name="M_Reise" localSheetId="14">MAI!$F$26:$AJ$26</definedName>
    <definedName name="M_Reise" localSheetId="12">MAR!$F$26:$AJ$26</definedName>
    <definedName name="M_Reise" localSheetId="20">NOV!$F$26:$AJ$26</definedName>
    <definedName name="M_Reise" localSheetId="19">OCT!$F$26:$AJ$26</definedName>
    <definedName name="M_Reise" localSheetId="18">SEP!$F$26:$AJ$26</definedName>
    <definedName name="M_Reiseabzug" localSheetId="17">AOÛ!$F$27:$AJ$27</definedName>
    <definedName name="M_Reiseabzug" localSheetId="13">AVR!$F$27:$AJ$27</definedName>
    <definedName name="M_Reiseabzug" localSheetId="21">DEC!$F$27:$AJ$27</definedName>
    <definedName name="M_Reiseabzug" localSheetId="11">FEV!$F$27:$AJ$27</definedName>
    <definedName name="M_Reiseabzug" localSheetId="10">JAN!$F$27:$AJ$27</definedName>
    <definedName name="M_Reiseabzug" localSheetId="16">JUL!$F$27:$AJ$27</definedName>
    <definedName name="M_Reiseabzug" localSheetId="15">JUN!$F$27:$AJ$27</definedName>
    <definedName name="M_Reiseabzug" localSheetId="14">MAI!$F$27:$AJ$27</definedName>
    <definedName name="M_Reiseabzug" localSheetId="12">MAR!$F$27:$AJ$27</definedName>
    <definedName name="M_Reiseabzug" localSheetId="20">NOV!$F$27:$AJ$27</definedName>
    <definedName name="M_Reiseabzug" localSheetId="19">OCT!$F$27:$AJ$27</definedName>
    <definedName name="M_Reiseabzug" localSheetId="18">SEP!$F$27:$AJ$27</definedName>
    <definedName name="M_Verweisspalte" localSheetId="17">AOÛ!$C$23:$C$54</definedName>
    <definedName name="M_Verweisspalte" localSheetId="13">AVR!$C$23:$C$54</definedName>
    <definedName name="M_Verweisspalte" localSheetId="21">DEC!$C$23:$C$54</definedName>
    <definedName name="M_Verweisspalte" localSheetId="11">FEV!$C$23:$C$54</definedName>
    <definedName name="M_Verweisspalte" localSheetId="10">JAN!$C$23:$C$54</definedName>
    <definedName name="M_Verweisspalte" localSheetId="16">JUL!$C$23:$C$54</definedName>
    <definedName name="M_Verweisspalte" localSheetId="15">JUN!$C$23:$C$54</definedName>
    <definedName name="M_Verweisspalte" localSheetId="14">MAI!$C$23:$C$54</definedName>
    <definedName name="M_Verweisspalte" localSheetId="12">MAR!$C$23:$C$54</definedName>
    <definedName name="M_Verweisspalte" localSheetId="20">NOV!$C$23:$C$54</definedName>
    <definedName name="M_Verweisspalte" localSheetId="19">OCT!$C$23:$C$54</definedName>
    <definedName name="M_Verweisspalte" localSheetId="18">SEP!$C$23:$C$54</definedName>
    <definedName name="M_Verweiszeile" localSheetId="17">AOÛ!$F$13:$AJ$13</definedName>
    <definedName name="M_Verweiszeile" localSheetId="13">AVR!$F$13:$AJ$13</definedName>
    <definedName name="M_Verweiszeile" localSheetId="21">DEC!$F$13:$AJ$13</definedName>
    <definedName name="M_Verweiszeile" localSheetId="11">FEV!$F$13:$AJ$13</definedName>
    <definedName name="M_Verweiszeile" localSheetId="10">JAN!$F$13:$AJ$13</definedName>
    <definedName name="M_Verweiszeile" localSheetId="16">JUL!$F$13:$AJ$13</definedName>
    <definedName name="M_Verweiszeile" localSheetId="15">JUN!$F$13:$AJ$13</definedName>
    <definedName name="M_Verweiszeile" localSheetId="14">MAI!$F$13:$AJ$13</definedName>
    <definedName name="M_Verweiszeile" localSheetId="12">MAR!$F$13:$AJ$13</definedName>
    <definedName name="M_Verweiszeile" localSheetId="20">NOV!$F$13:$AJ$13</definedName>
    <definedName name="M_Verweiszeile" localSheetId="19">OCT!$F$13:$AJ$13</definedName>
    <definedName name="M_Verweiszeile" localSheetId="18">SEP!$F$13:$AJ$13</definedName>
    <definedName name="maxHoursPerWeek" localSheetId="17" hidden="1">AOÛ!#REF!</definedName>
    <definedName name="maxHoursPerWeek" localSheetId="13" hidden="1">AVR!#REF!</definedName>
    <definedName name="maxHoursPerWeek" localSheetId="21" hidden="1">DEC!#REF!</definedName>
    <definedName name="maxHoursPerWeek" localSheetId="11" hidden="1">FEV!#REF!</definedName>
    <definedName name="maxHoursPerWeek" localSheetId="10" hidden="1">JAN!#REF!</definedName>
    <definedName name="maxHoursPerWeek" localSheetId="16" hidden="1">JUL!#REF!</definedName>
    <definedName name="maxHoursPerWeek" localSheetId="15" hidden="1">JUN!#REF!</definedName>
    <definedName name="maxHoursPerWeek" localSheetId="14" hidden="1">MAI!#REF!</definedName>
    <definedName name="maxHoursPerWeek" localSheetId="12" hidden="1">MAR!#REF!</definedName>
    <definedName name="maxHoursPerWeek" localSheetId="20" hidden="1">NOV!#REF!</definedName>
    <definedName name="maxHoursPerWeek" localSheetId="19" hidden="1">OCT!#REF!</definedName>
    <definedName name="maxHoursPerWeek" localSheetId="22" hidden="1">'report annuel'!$C$4</definedName>
    <definedName name="maxHoursPerWeek" localSheetId="18" hidden="1">SEP!#REF!</definedName>
    <definedName name="newCalendarCN" comment="neuer Kalender, intern" localSheetId="17" hidden="1">AOÛ!#REF!</definedName>
    <definedName name="newCalendarCN" comment="neuer Kalender, intern" localSheetId="13" hidden="1">AVR!#REF!</definedName>
    <definedName name="newCalendarCN" comment="neuer Kalender, intern" localSheetId="21" hidden="1">DEC!#REF!</definedName>
    <definedName name="newCalendarCN" comment="neuer Kalender, intern" localSheetId="11" hidden="1">FEV!#REF!</definedName>
    <definedName name="newCalendarCN" comment="neuer Kalender, intern" localSheetId="10" hidden="1">JAN!#REF!</definedName>
    <definedName name="newCalendarCN" comment="neuer Kalender, intern" localSheetId="16" hidden="1">JUL!#REF!</definedName>
    <definedName name="newCalendarCN" comment="neuer Kalender, intern" localSheetId="15" hidden="1">JUN!#REF!</definedName>
    <definedName name="newCalendarCN" comment="neuer Kalender, intern" localSheetId="14" hidden="1">MAI!#REF!</definedName>
    <definedName name="newCalendarCN" comment="neuer Kalender, intern" localSheetId="12" hidden="1">MAR!#REF!</definedName>
    <definedName name="newCalendarCN" comment="neuer Kalender, intern" localSheetId="20" hidden="1">NOV!#REF!</definedName>
    <definedName name="newCalendarCN" comment="neuer Kalender, intern" localSheetId="19" hidden="1">OCT!#REF!</definedName>
    <definedName name="newCalendarCN" comment="neuer Kalender, intern" localSheetId="22" hidden="1">'report annuel'!$AL$52</definedName>
    <definedName name="newCalendarCN" comment="neuer Kalender, intern" localSheetId="18" hidden="1">SEP!#REF!</definedName>
    <definedName name="newCalendarN" comment="neuer Kalender" localSheetId="17" hidden="1">AOÛ!#REF!</definedName>
    <definedName name="newCalendarN" comment="neuer Kalender" localSheetId="13" hidden="1">AVR!#REF!</definedName>
    <definedName name="newCalendarN" comment="neuer Kalender" localSheetId="21" hidden="1">DEC!#REF!</definedName>
    <definedName name="newCalendarN" comment="neuer Kalender" localSheetId="11" hidden="1">FEV!#REF!</definedName>
    <definedName name="newCalendarN" comment="neuer Kalender" localSheetId="10" hidden="1">JAN!#REF!</definedName>
    <definedName name="newCalendarN" comment="neuer Kalender" localSheetId="16" hidden="1">JUL!#REF!</definedName>
    <definedName name="newCalendarN" comment="neuer Kalender" localSheetId="15" hidden="1">JUN!#REF!</definedName>
    <definedName name="newCalendarN" comment="neuer Kalender" localSheetId="14" hidden="1">MAI!#REF!</definedName>
    <definedName name="newCalendarN" comment="neuer Kalender" localSheetId="12" hidden="1">MAR!#REF!</definedName>
    <definedName name="newCalendarN" comment="neuer Kalender" localSheetId="20" hidden="1">NOV!#REF!</definedName>
    <definedName name="newCalendarN" comment="neuer Kalender" localSheetId="19" hidden="1">OCT!#REF!</definedName>
    <definedName name="newCalendarN" comment="neuer Kalender" localSheetId="22" hidden="1">'report annuel'!$AR$52</definedName>
    <definedName name="newCalendarN" comment="neuer Kalender" localSheetId="18" hidden="1">SEP!#REF!</definedName>
    <definedName name="oldCalendarCN" comment="alter Kalender intern" localSheetId="17" hidden="1">AOÛ!#REF!</definedName>
    <definedName name="oldCalendarCN" comment="alter Kalender intern" localSheetId="13" hidden="1">AVR!#REF!</definedName>
    <definedName name="oldCalendarCN" comment="alter Kalender intern" localSheetId="21" hidden="1">DEC!#REF!</definedName>
    <definedName name="oldCalendarCN" comment="alter Kalender intern" localSheetId="11" hidden="1">FEV!#REF!</definedName>
    <definedName name="oldCalendarCN" comment="alter Kalender intern" localSheetId="10" hidden="1">JAN!#REF!</definedName>
    <definedName name="oldCalendarCN" comment="alter Kalender intern" localSheetId="16" hidden="1">JUL!#REF!</definedName>
    <definedName name="oldCalendarCN" comment="alter Kalender intern" localSheetId="15" hidden="1">JUN!#REF!</definedName>
    <definedName name="oldCalendarCN" comment="alter Kalender intern" localSheetId="14" hidden="1">MAI!#REF!</definedName>
    <definedName name="oldCalendarCN" comment="alter Kalender intern" localSheetId="12" hidden="1">MAR!#REF!</definedName>
    <definedName name="oldCalendarCN" comment="alter Kalender intern" localSheetId="20" hidden="1">NOV!#REF!</definedName>
    <definedName name="oldCalendarCN" comment="alter Kalender intern" localSheetId="19" hidden="1">OCT!#REF!</definedName>
    <definedName name="oldCalendarCN" comment="alter Kalender intern" localSheetId="22" hidden="1">'report annuel'!#REF!</definedName>
    <definedName name="oldCalendarCN" comment="alter Kalender intern" localSheetId="18" hidden="1">SEP!#REF!</definedName>
    <definedName name="oldCalendarN" comment="alter Kalender" localSheetId="17" hidden="1">AOÛ!#REF!</definedName>
    <definedName name="oldCalendarN" comment="alter Kalender" localSheetId="13" hidden="1">AVR!#REF!</definedName>
    <definedName name="oldCalendarN" comment="alter Kalender" localSheetId="21" hidden="1">DEC!#REF!</definedName>
    <definedName name="oldCalendarN" comment="alter Kalender" localSheetId="11" hidden="1">FEV!#REF!</definedName>
    <definedName name="oldCalendarN" comment="alter Kalender" localSheetId="10" hidden="1">JAN!#REF!</definedName>
    <definedName name="oldCalendarN" comment="alter Kalender" localSheetId="16" hidden="1">JUL!#REF!</definedName>
    <definedName name="oldCalendarN" comment="alter Kalender" localSheetId="15" hidden="1">JUN!#REF!</definedName>
    <definedName name="oldCalendarN" comment="alter Kalender" localSheetId="14" hidden="1">MAI!#REF!</definedName>
    <definedName name="oldCalendarN" comment="alter Kalender" localSheetId="12" hidden="1">MAR!#REF!</definedName>
    <definedName name="oldCalendarN" comment="alter Kalender" localSheetId="20" hidden="1">NOV!#REF!</definedName>
    <definedName name="oldCalendarN" comment="alter Kalender" localSheetId="19" hidden="1">OCT!#REF!</definedName>
    <definedName name="oldCalendarN" comment="alter Kalender" localSheetId="22" hidden="1">'report annuel'!#REF!</definedName>
    <definedName name="oldCalendarN" comment="alter Kalender" localSheetId="18" hidden="1">SEP!#REF!</definedName>
    <definedName name="selectedLanguage">H_Label!$B$13</definedName>
    <definedName name="ServiceArea" comment="Konfig- &amp; Service Bereich" localSheetId="17" hidden="1">AOÛ!#REF!</definedName>
    <definedName name="ServiceArea" comment="Konfig- &amp; Service Bereich" localSheetId="13" hidden="1">AVR!#REF!</definedName>
    <definedName name="ServiceArea" comment="Konfig- &amp; Service Bereich" localSheetId="21" hidden="1">DEC!#REF!</definedName>
    <definedName name="ServiceArea" comment="Konfig- &amp; Service Bereich" localSheetId="11" hidden="1">FEV!#REF!</definedName>
    <definedName name="ServiceArea" comment="Konfig- &amp; Service Bereich" localSheetId="10" hidden="1">JAN!#REF!</definedName>
    <definedName name="ServiceArea" comment="Konfig- &amp; Service Bereich" localSheetId="16" hidden="1">JUL!#REF!</definedName>
    <definedName name="ServiceArea" comment="Konfig- &amp; Service Bereich" localSheetId="15" hidden="1">JUN!#REF!</definedName>
    <definedName name="ServiceArea" comment="Konfig- &amp; Service Bereich" localSheetId="14" hidden="1">MAI!#REF!</definedName>
    <definedName name="ServiceArea" comment="Konfig- &amp; Service Bereich" localSheetId="12" hidden="1">MAR!#REF!</definedName>
    <definedName name="ServiceArea" comment="Konfig- &amp; Service Bereich" localSheetId="20" hidden="1">NOV!#REF!</definedName>
    <definedName name="ServiceArea" comment="Konfig- &amp; Service Bereich" localSheetId="19" hidden="1">OCT!#REF!</definedName>
    <definedName name="ServiceArea" comment="Konfig- &amp; Service Bereich" localSheetId="22" hidden="1">'report annuel'!$AH:$BJ</definedName>
    <definedName name="ServiceArea" comment="Konfig- &amp; Service Bereich" localSheetId="18" hidden="1">SEP!#REF!</definedName>
    <definedName name="tagespensen" comment="Pensum pro Wochentag (für Pensumskonfiguration im Expertenmodus)" localSheetId="17" hidden="1">AOÛ!#REF!</definedName>
    <definedName name="tagespensen" comment="Pensum pro Wochentag (für Pensumskonfiguration im Expertenmodus)" localSheetId="13" hidden="1">AVR!#REF!</definedName>
    <definedName name="tagespensen" comment="Pensum pro Wochentag (für Pensumskonfiguration im Expertenmodus)" localSheetId="21" hidden="1">DEC!#REF!</definedName>
    <definedName name="tagespensen" comment="Pensum pro Wochentag (für Pensumskonfiguration im Expertenmodus)" localSheetId="11" hidden="1">FEV!#REF!</definedName>
    <definedName name="tagespensen" comment="Pensum pro Wochentag (für Pensumskonfiguration im Expertenmodus)" localSheetId="10" hidden="1">JAN!#REF!</definedName>
    <definedName name="tagespensen" comment="Pensum pro Wochentag (für Pensumskonfiguration im Expertenmodus)" localSheetId="16" hidden="1">JUL!#REF!</definedName>
    <definedName name="tagespensen" comment="Pensum pro Wochentag (für Pensumskonfiguration im Expertenmodus)" localSheetId="15" hidden="1">JUN!#REF!</definedName>
    <definedName name="tagespensen" comment="Pensum pro Wochentag (für Pensumskonfiguration im Expertenmodus)" localSheetId="14" hidden="1">MAI!#REF!</definedName>
    <definedName name="tagespensen" comment="Pensum pro Wochentag (für Pensumskonfiguration im Expertenmodus)" localSheetId="12" hidden="1">MAR!#REF!</definedName>
    <definedName name="tagespensen" comment="Pensum pro Wochentag (für Pensumskonfiguration im Expertenmodus)" localSheetId="20" hidden="1">NOV!#REF!</definedName>
    <definedName name="tagespensen" comment="Pensum pro Wochentag (für Pensumskonfiguration im Expertenmodus)" localSheetId="19" hidden="1">OCT!#REF!</definedName>
    <definedName name="tagespensen" comment="Pensum pro Wochentag (für Pensumskonfiguration im Expertenmodus)" localSheetId="22" hidden="1">'report annuel'!#REF!</definedName>
    <definedName name="tagespensen" comment="Pensum pro Wochentag (für Pensumskonfiguration im Expertenmodus)" localSheetId="18" hidden="1">SEP!#REF!</definedName>
    <definedName name="timesheetYear" localSheetId="17" hidden="1">AOÛ!#REF!</definedName>
    <definedName name="timesheetYear" localSheetId="13" hidden="1">AVR!#REF!</definedName>
    <definedName name="timesheetYear" localSheetId="21" hidden="1">DEC!#REF!</definedName>
    <definedName name="timesheetYear" localSheetId="11" hidden="1">FEV!#REF!</definedName>
    <definedName name="timesheetYear" localSheetId="10" hidden="1">JAN!#REF!</definedName>
    <definedName name="timesheetYear" localSheetId="16" hidden="1">JUL!#REF!</definedName>
    <definedName name="timesheetYear" localSheetId="15" hidden="1">JUN!#REF!</definedName>
    <definedName name="timesheetYear" localSheetId="14" hidden="1">MAI!#REF!</definedName>
    <definedName name="timesheetYear" localSheetId="12" hidden="1">MAR!#REF!</definedName>
    <definedName name="timesheetYear" localSheetId="20" hidden="1">NOV!#REF!</definedName>
    <definedName name="timesheetYear" localSheetId="19" hidden="1">OCT!#REF!</definedName>
    <definedName name="timesheetYear" localSheetId="22" hidden="1">'report annuel'!$AH$2</definedName>
    <definedName name="timesheetYear" localSheetId="18" hidden="1">SEP!#REF!</definedName>
    <definedName name="TSHilfszeilen" comment="Hilfszeilen, die in Produktivblatt ausgeblendet sind" localSheetId="17" hidden="1">AOÛ!$11:$18,AOÛ!$21:$21,AOÛ!#REF!,AOÛ!#REF!,AOÛ!$79:$79,AOÛ!#REF!,AOÛ!#REF!,AOÛ!#REF!,AOÛ!#REF!,AOÛ!#REF!,AOÛ!#REF!,AOÛ!#REF!,AOÛ!#REF!,AOÛ!#REF!,AOÛ!#REF!,AOÛ!#REF!,AOÛ!#REF!,AOÛ!#REF!,AOÛ!#REF!,AOÛ!#REF!,AOÛ!#REF!,AOÛ!#REF!,AOÛ!#REF!,AOÛ!#REF!,AOÛ!#REF!,AOÛ!#REF!,AOÛ!#REF!,AOÛ!#REF!,AOÛ!#REF!,AOÛ!#REF!,AOÛ!#REF!,AOÛ!#REF!,AOÛ!#REF!,AOÛ!#REF!,AOÛ!#REF!,AOÛ!#REF!,AOÛ!#REF!,AOÛ!#REF!</definedName>
    <definedName name="TSHilfszeilen" comment="Hilfszeilen, die in Produktivblatt ausgeblendet sind" localSheetId="13" hidden="1">AVR!$11:$18,AVR!$21:$21,AVR!#REF!,AVR!#REF!,AVR!$79:$79,AVR!#REF!,AVR!#REF!,AVR!#REF!,AVR!#REF!,AVR!#REF!,AVR!#REF!,AVR!#REF!,AVR!#REF!,AVR!#REF!,AVR!#REF!,AVR!#REF!,AVR!#REF!,AVR!#REF!,AVR!#REF!,AVR!#REF!,AVR!#REF!,AVR!#REF!,AVR!#REF!,AVR!#REF!,AVR!#REF!,AVR!#REF!,AVR!#REF!,AVR!#REF!,AVR!#REF!,AVR!#REF!,AVR!#REF!,AVR!#REF!,AVR!#REF!,AVR!#REF!,AVR!#REF!,AVR!#REF!,AVR!#REF!,AVR!#REF!</definedName>
    <definedName name="TSHilfszeilen" comment="Hilfszeilen, die in Produktivblatt ausgeblendet sind" localSheetId="21" hidden="1">DEC!$11:$18,DEC!$21:$21,DEC!#REF!,DEC!#REF!,DEC!$79:$79,DEC!#REF!,DEC!#REF!,DEC!#REF!,DEC!#REF!,DEC!#REF!,DEC!#REF!,DEC!#REF!,DEC!#REF!,DEC!#REF!,DEC!#REF!,DEC!#REF!,DEC!#REF!,DEC!#REF!,DEC!#REF!,DEC!#REF!,DEC!#REF!,DEC!#REF!,DEC!#REF!,DEC!#REF!,DEC!#REF!,DEC!#REF!,DEC!#REF!,DEC!#REF!,DEC!#REF!,DEC!#REF!,DEC!#REF!,DEC!#REF!,DEC!#REF!,DEC!#REF!,DEC!#REF!,DEC!#REF!,DEC!#REF!,DEC!#REF!</definedName>
    <definedName name="TSHilfszeilen" comment="Hilfszeilen, die in Produktivblatt ausgeblendet sind" localSheetId="11" hidden="1">FEV!$11:$18,FEV!$21:$21,FEV!#REF!,FEV!#REF!,FEV!$79:$79,FEV!#REF!,FEV!#REF!,FEV!#REF!,FEV!#REF!,FEV!#REF!,FEV!#REF!,FEV!#REF!,FEV!#REF!,FEV!#REF!,FEV!#REF!,FEV!#REF!,FEV!#REF!,FEV!#REF!,FEV!#REF!,FEV!#REF!,FEV!#REF!,FEV!#REF!,FEV!#REF!,FEV!#REF!,FEV!#REF!,FEV!#REF!,FEV!#REF!,FEV!#REF!,FEV!#REF!,FEV!#REF!,FEV!#REF!,FEV!#REF!,FEV!#REF!,FEV!#REF!,FEV!#REF!,FEV!#REF!,FEV!#REF!,FEV!#REF!</definedName>
    <definedName name="TSHilfszeilen" comment="Hilfszeilen, die in Produktivblatt ausgeblendet sind" localSheetId="10" hidden="1">JAN!$11:$18,JAN!$21:$21,JAN!#REF!,JAN!#REF!,JAN!$79:$79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</definedName>
    <definedName name="TSHilfszeilen" comment="Hilfszeilen, die in Produktivblatt ausgeblendet sind" localSheetId="16" hidden="1">JUL!$11:$18,JUL!$21:$21,JUL!#REF!,JUL!#REF!,JUL!$79:$79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</definedName>
    <definedName name="TSHilfszeilen" comment="Hilfszeilen, die in Produktivblatt ausgeblendet sind" localSheetId="15" hidden="1">JUN!$11:$18,JUN!$21:$21,JUN!#REF!,JUN!#REF!,JUN!$79:$79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</definedName>
    <definedName name="TSHilfszeilen" comment="Hilfszeilen, die in Produktivblatt ausgeblendet sind" localSheetId="14" hidden="1">MAI!$11:$18,MAI!$21:$21,MAI!#REF!,MAI!#REF!,MAI!$79:$79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</definedName>
    <definedName name="TSHilfszeilen" comment="Hilfszeilen, die in Produktivblatt ausgeblendet sind" localSheetId="12" hidden="1">MAR!$11:$18,MAR!$21:$21,MAR!#REF!,MAR!#REF!,MAR!$79:$79,MAR!#REF!,MAR!#REF!,MAR!#REF!,MAR!#REF!,MAR!#REF!,MAR!#REF!,MAR!#REF!,MAR!#REF!,MAR!#REF!,MAR!#REF!,MAR!#REF!,MAR!#REF!,MAR!#REF!,MAR!#REF!,MAR!#REF!,MAR!#REF!,MAR!#REF!,MAR!#REF!,MAR!#REF!,MAR!#REF!,MAR!#REF!,MAR!#REF!,MAR!#REF!,MAR!#REF!,MAR!#REF!,MAR!#REF!,MAR!#REF!,MAR!#REF!,MAR!#REF!,MAR!#REF!,MAR!#REF!,MAR!#REF!,MAR!#REF!</definedName>
    <definedName name="TSHilfszeilen" comment="Hilfszeilen, die in Produktivblatt ausgeblendet sind" localSheetId="20" hidden="1">NOV!$11:$18,NOV!$21:$21,NOV!#REF!,NOV!#REF!,NOV!$79:$79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</definedName>
    <definedName name="TSHilfszeilen" comment="Hilfszeilen, die in Produktivblatt ausgeblendet sind" localSheetId="19" hidden="1">OCT!$11:$18,OCT!$21:$21,OCT!#REF!,OCT!#REF!,OCT!$79:$79,OCT!#REF!,OCT!#REF!,OCT!#REF!,OCT!#REF!,OCT!#REF!,OCT!#REF!,OCT!#REF!,OCT!#REF!,OCT!#REF!,OCT!#REF!,OCT!#REF!,OCT!#REF!,OCT!#REF!,OCT!#REF!,OCT!#REF!,OCT!#REF!,OCT!#REF!,OCT!#REF!,OCT!#REF!,OCT!#REF!,OCT!#REF!,OCT!#REF!,OCT!#REF!,OCT!#REF!,OCT!#REF!,OCT!#REF!,OCT!#REF!,OCT!#REF!,OCT!#REF!,OCT!#REF!,OCT!#REF!,OCT!#REF!,OCT!#REF!</definedName>
    <definedName name="TSHilfszeilen" comment="Hilfszeilen, die in Produktivblatt ausgeblendet sind" localSheetId="22" hidden="1">'report annuel'!$9:$14,'report annuel'!$20:$20,'report annuel'!$27:$32,'report annuel'!$40:$44,'report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</definedName>
    <definedName name="TSHilfszeilen" comment="Hilfszeilen, die in Produktivblatt ausgeblendet sind" localSheetId="18" hidden="1">SEP!$11:$18,SEP!$21:$21,SEP!#REF!,SEP!#REF!,SEP!$79:$79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</definedName>
    <definedName name="UserAreaAll" comment="Gesamter Eingabebereich für Arbeitszeitdaten JAN-DEZ (inkl. unprod. Std.)" localSheetId="17">AOÛ!$8:$80</definedName>
    <definedName name="UserAreaAll" comment="Gesamter Eingabebereich für Arbeitszeitdaten JAN-DEZ (inkl. unprod. Std.)" localSheetId="13">AVR!$8:$80</definedName>
    <definedName name="UserAreaAll" comment="Gesamter Eingabebereich für Arbeitszeitdaten JAN-DEZ (inkl. unprod. Std.)" localSheetId="21">DEC!$8:$80</definedName>
    <definedName name="UserAreaAll" comment="Gesamter Eingabebereich für Arbeitszeitdaten JAN-DEZ (inkl. unprod. Std.)" localSheetId="11">FEV!$8:$80</definedName>
    <definedName name="UserAreaAll" comment="Gesamter Eingabebereich für Arbeitszeitdaten JAN-DEZ (inkl. unprod. Std.)" localSheetId="10">JAN!$8:$80</definedName>
    <definedName name="UserAreaAll" comment="Gesamter Eingabebereich für Arbeitszeitdaten JAN-DEZ (inkl. unprod. Std.)" localSheetId="16">JUL!$8:$80</definedName>
    <definedName name="UserAreaAll" comment="Gesamter Eingabebereich für Arbeitszeitdaten JAN-DEZ (inkl. unprod. Std.)" localSheetId="15">JUN!$8:$80</definedName>
    <definedName name="UserAreaAll" comment="Gesamter Eingabebereich für Arbeitszeitdaten JAN-DEZ (inkl. unprod. Std.)" localSheetId="14">MAI!$8:$80</definedName>
    <definedName name="UserAreaAll" comment="Gesamter Eingabebereich für Arbeitszeitdaten JAN-DEZ (inkl. unprod. Std.)" localSheetId="12">MAR!$8:$80</definedName>
    <definedName name="UserAreaAll" comment="Gesamter Eingabebereich für Arbeitszeitdaten JAN-DEZ (inkl. unprod. Std.)" localSheetId="20">NOV!$8:$80</definedName>
    <definedName name="UserAreaAll" comment="Gesamter Eingabebereich für Arbeitszeitdaten JAN-DEZ (inkl. unprod. Std.)" localSheetId="19">OCT!$8:$80</definedName>
    <definedName name="UserAreaAll" comment="Gesamter Eingabebereich für Arbeitszeitdaten JAN-DEZ (inkl. unprod. Std.)" localSheetId="22">'report annuel'!$6:$54</definedName>
    <definedName name="UserAreaAll" comment="Gesamter Eingabebereich für Arbeitszeitdaten JAN-DEZ (inkl. unprod. Std.)" localSheetId="18">SEP!$8:$80</definedName>
  </definedNames>
  <calcPr calcId="191028"/>
  <customWorkbookViews>
    <customWorkbookView name="normal" guid="{AAA4D533-36AC-4D9A-85F4-EB15BCAB43D6}" maximized="1" windowWidth="1916" windowHeight="855" tabRatio="883" activeSheetId="35"/>
    <customWorkbookView name="absenzen" guid="{F5BF5DFB-87FE-4DF9-9E82-BEE316A1D433}" maximized="1" windowWidth="1916" windowHeight="855" tabRatio="883" activeSheetId="35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375" i="143" l="1" a="1"/>
  <c r="X375" i="143" s="1"/>
  <c r="X374" i="143" a="1"/>
  <c r="X374" i="143" s="1"/>
  <c r="X373" i="143" a="1"/>
  <c r="X373" i="143" s="1"/>
  <c r="X372" i="143" a="1"/>
  <c r="X372" i="143" s="1"/>
  <c r="X371" i="143" a="1"/>
  <c r="X371" i="143" s="1"/>
  <c r="X370" i="143" a="1"/>
  <c r="X370" i="143" s="1"/>
  <c r="X369" i="143" a="1"/>
  <c r="X369" i="143" s="1"/>
  <c r="X368" i="143" a="1"/>
  <c r="X368" i="143" s="1"/>
  <c r="X367" i="143" a="1"/>
  <c r="X367" i="143" s="1"/>
  <c r="X366" i="143" a="1"/>
  <c r="X366" i="143" s="1"/>
  <c r="X365" i="143" a="1"/>
  <c r="X365" i="143" s="1"/>
  <c r="X364" i="143" a="1"/>
  <c r="X364" i="143" s="1"/>
  <c r="X363" i="143" a="1"/>
  <c r="X363" i="143" s="1"/>
  <c r="X362" i="143" a="1"/>
  <c r="X362" i="143" s="1"/>
  <c r="X361" i="143" a="1"/>
  <c r="X361" i="143" s="1"/>
  <c r="X360" i="143" a="1"/>
  <c r="X360" i="143" s="1"/>
  <c r="X359" i="143" a="1"/>
  <c r="X359" i="143" s="1"/>
  <c r="X358" i="143" a="1"/>
  <c r="X358" i="143" s="1"/>
  <c r="X357" i="143" a="1"/>
  <c r="X357" i="143" s="1"/>
  <c r="X356" i="143" a="1"/>
  <c r="X356" i="143" s="1"/>
  <c r="X355" i="143" a="1"/>
  <c r="X355" i="143" s="1"/>
  <c r="X354" i="143" a="1"/>
  <c r="X354" i="143" s="1"/>
  <c r="X353" i="143" a="1"/>
  <c r="X353" i="143" s="1"/>
  <c r="X352" i="143" a="1"/>
  <c r="X352" i="143" s="1"/>
  <c r="X351" i="143" a="1"/>
  <c r="X351" i="143" s="1"/>
  <c r="X350" i="143" a="1"/>
  <c r="X350" i="143" s="1"/>
  <c r="X349" i="143" a="1"/>
  <c r="X349" i="143" s="1"/>
  <c r="X348" i="143" a="1"/>
  <c r="X348" i="143" s="1"/>
  <c r="X347" i="143" a="1"/>
  <c r="X347" i="143" s="1"/>
  <c r="X346" i="143" a="1"/>
  <c r="X346" i="143" s="1"/>
  <c r="X345" i="143" a="1"/>
  <c r="X345" i="143" s="1"/>
  <c r="X344" i="143" a="1"/>
  <c r="X344" i="143" s="1"/>
  <c r="X343" i="143" a="1"/>
  <c r="X343" i="143" s="1"/>
  <c r="X342" i="143" a="1"/>
  <c r="X342" i="143" s="1"/>
  <c r="X341" i="143" a="1"/>
  <c r="X341" i="143" s="1"/>
  <c r="X340" i="143" a="1"/>
  <c r="X340" i="143" s="1"/>
  <c r="X339" i="143" a="1"/>
  <c r="X339" i="143" s="1"/>
  <c r="X338" i="143" a="1"/>
  <c r="X338" i="143" s="1"/>
  <c r="X337" i="143" a="1"/>
  <c r="X337" i="143" s="1"/>
  <c r="X336" i="143" a="1"/>
  <c r="X336" i="143" s="1"/>
  <c r="X335" i="143" a="1"/>
  <c r="X335" i="143" s="1"/>
  <c r="X334" i="143" a="1"/>
  <c r="X334" i="143" s="1"/>
  <c r="X333" i="143" a="1"/>
  <c r="X333" i="143" s="1"/>
  <c r="X332" i="143" a="1"/>
  <c r="X332" i="143" s="1"/>
  <c r="X331" i="143" a="1"/>
  <c r="X331" i="143" s="1"/>
  <c r="X330" i="143" a="1"/>
  <c r="X330" i="143" s="1"/>
  <c r="X329" i="143" a="1"/>
  <c r="X329" i="143" s="1"/>
  <c r="X328" i="143" a="1"/>
  <c r="X328" i="143" s="1"/>
  <c r="X327" i="143" a="1"/>
  <c r="X327" i="143" s="1"/>
  <c r="X326" i="143" a="1"/>
  <c r="X326" i="143" s="1"/>
  <c r="X325" i="143" a="1"/>
  <c r="X325" i="143" s="1"/>
  <c r="X324" i="143" a="1"/>
  <c r="X324" i="143" s="1"/>
  <c r="X323" i="143" a="1"/>
  <c r="X323" i="143" s="1"/>
  <c r="X322" i="143" a="1"/>
  <c r="X322" i="143" s="1"/>
  <c r="X321" i="143" a="1"/>
  <c r="X321" i="143" s="1"/>
  <c r="X320" i="143" a="1"/>
  <c r="X320" i="143" s="1"/>
  <c r="X319" i="143" a="1"/>
  <c r="X319" i="143" s="1"/>
  <c r="X318" i="143" a="1"/>
  <c r="X318" i="143" s="1"/>
  <c r="X317" i="143" a="1"/>
  <c r="X317" i="143" s="1"/>
  <c r="X316" i="143" a="1"/>
  <c r="X316" i="143" s="1"/>
  <c r="X315" i="143" a="1"/>
  <c r="X315" i="143" s="1"/>
  <c r="X314" i="143" a="1"/>
  <c r="X314" i="143" s="1"/>
  <c r="X313" i="143" a="1"/>
  <c r="X313" i="143" s="1"/>
  <c r="X312" i="143" a="1"/>
  <c r="X312" i="143" s="1"/>
  <c r="X311" i="143" a="1"/>
  <c r="X311" i="143" s="1"/>
  <c r="X310" i="143" a="1"/>
  <c r="X310" i="143" s="1"/>
  <c r="X309" i="143" a="1"/>
  <c r="X309" i="143" s="1"/>
  <c r="X308" i="143" a="1"/>
  <c r="X308" i="143" s="1"/>
  <c r="X307" i="143" a="1"/>
  <c r="X307" i="143" s="1"/>
  <c r="X306" i="143" a="1"/>
  <c r="X306" i="143" s="1"/>
  <c r="X305" i="143" a="1"/>
  <c r="X305" i="143" s="1"/>
  <c r="X304" i="143" a="1"/>
  <c r="X304" i="143" s="1"/>
  <c r="X303" i="143" a="1"/>
  <c r="X303" i="143" s="1"/>
  <c r="X302" i="143" a="1"/>
  <c r="X302" i="143" s="1"/>
  <c r="X301" i="143" a="1"/>
  <c r="X301" i="143" s="1"/>
  <c r="X300" i="143" a="1"/>
  <c r="X300" i="143" s="1"/>
  <c r="X299" i="143" a="1"/>
  <c r="X299" i="143" s="1"/>
  <c r="X298" i="143" a="1"/>
  <c r="X298" i="143" s="1"/>
  <c r="X297" i="143" a="1"/>
  <c r="X297" i="143" s="1"/>
  <c r="X296" i="143" a="1"/>
  <c r="X296" i="143" s="1"/>
  <c r="X295" i="143" a="1"/>
  <c r="X295" i="143" s="1"/>
  <c r="X294" i="143" a="1"/>
  <c r="X294" i="143" s="1"/>
  <c r="X293" i="143" a="1"/>
  <c r="X293" i="143" s="1"/>
  <c r="X292" i="143" a="1"/>
  <c r="X292" i="143" s="1"/>
  <c r="X291" i="143" a="1"/>
  <c r="X291" i="143" s="1"/>
  <c r="X290" i="143" a="1"/>
  <c r="X290" i="143" s="1"/>
  <c r="X289" i="143" a="1"/>
  <c r="X289" i="143" s="1"/>
  <c r="X288" i="143" a="1"/>
  <c r="X288" i="143" s="1"/>
  <c r="X287" i="143" a="1"/>
  <c r="X287" i="143" s="1"/>
  <c r="X286" i="143" a="1"/>
  <c r="X286" i="143" s="1"/>
  <c r="X285" i="143" a="1"/>
  <c r="X285" i="143" s="1"/>
  <c r="X284" i="143" a="1"/>
  <c r="X284" i="143" s="1"/>
  <c r="X283" i="143" a="1"/>
  <c r="X283" i="143" s="1"/>
  <c r="X282" i="143" a="1"/>
  <c r="X282" i="143" s="1"/>
  <c r="X281" i="143" a="1"/>
  <c r="X281" i="143" s="1"/>
  <c r="X280" i="143" a="1"/>
  <c r="X280" i="143" s="1"/>
  <c r="X279" i="143" a="1"/>
  <c r="X279" i="143" s="1"/>
  <c r="X278" i="143" a="1"/>
  <c r="X278" i="143" s="1"/>
  <c r="X277" i="143" a="1"/>
  <c r="X277" i="143" s="1"/>
  <c r="X276" i="143" a="1"/>
  <c r="X276" i="143" s="1"/>
  <c r="X275" i="143" a="1"/>
  <c r="X275" i="143" s="1"/>
  <c r="X274" i="143" a="1"/>
  <c r="X274" i="143" s="1"/>
  <c r="X273" i="143" a="1"/>
  <c r="X273" i="143" s="1"/>
  <c r="X272" i="143" a="1"/>
  <c r="X272" i="143" s="1"/>
  <c r="X271" i="143" a="1"/>
  <c r="X271" i="143" s="1"/>
  <c r="X270" i="143" a="1"/>
  <c r="X270" i="143" s="1"/>
  <c r="X269" i="143" a="1"/>
  <c r="X269" i="143" s="1"/>
  <c r="X268" i="143" a="1"/>
  <c r="X268" i="143" s="1"/>
  <c r="X267" i="143" a="1"/>
  <c r="X267" i="143" s="1"/>
  <c r="X266" i="143" a="1"/>
  <c r="X266" i="143" s="1"/>
  <c r="X265" i="143" a="1"/>
  <c r="X265" i="143" s="1"/>
  <c r="X264" i="143" a="1"/>
  <c r="X264" i="143" s="1"/>
  <c r="X263" i="143" a="1"/>
  <c r="X263" i="143" s="1"/>
  <c r="X262" i="143" a="1"/>
  <c r="X262" i="143" s="1"/>
  <c r="X261" i="143" a="1"/>
  <c r="X261" i="143" s="1"/>
  <c r="X260" i="143" a="1"/>
  <c r="X260" i="143" s="1"/>
  <c r="X259" i="143" a="1"/>
  <c r="X259" i="143" s="1"/>
  <c r="X258" i="143" a="1"/>
  <c r="X258" i="143" s="1"/>
  <c r="X257" i="143" a="1"/>
  <c r="X257" i="143" s="1"/>
  <c r="X256" i="143" a="1"/>
  <c r="X256" i="143" s="1"/>
  <c r="X255" i="143" a="1"/>
  <c r="X255" i="143" s="1"/>
  <c r="X254" i="143" a="1"/>
  <c r="X254" i="143" s="1"/>
  <c r="X253" i="143" a="1"/>
  <c r="X253" i="143" s="1"/>
  <c r="X252" i="143" a="1"/>
  <c r="X252" i="143" s="1"/>
  <c r="X251" i="143" a="1"/>
  <c r="X251" i="143" s="1"/>
  <c r="X250" i="143" a="1"/>
  <c r="X250" i="143" s="1"/>
  <c r="X249" i="143" a="1"/>
  <c r="X249" i="143" s="1"/>
  <c r="X248" i="143" a="1"/>
  <c r="X248" i="143" s="1"/>
  <c r="X247" i="143" a="1"/>
  <c r="X247" i="143" s="1"/>
  <c r="X246" i="143" a="1"/>
  <c r="X246" i="143" s="1"/>
  <c r="X245" i="143" a="1"/>
  <c r="X245" i="143" s="1"/>
  <c r="X244" i="143" a="1"/>
  <c r="X244" i="143" s="1"/>
  <c r="X243" i="143" a="1"/>
  <c r="X243" i="143" s="1"/>
  <c r="X242" i="143" a="1"/>
  <c r="X242" i="143" s="1"/>
  <c r="X241" i="143" a="1"/>
  <c r="X241" i="143" s="1"/>
  <c r="X240" i="143" a="1"/>
  <c r="X240" i="143" s="1"/>
  <c r="X239" i="143" a="1"/>
  <c r="X239" i="143" s="1"/>
  <c r="X238" i="143" a="1"/>
  <c r="X238" i="143" s="1"/>
  <c r="X237" i="143" a="1"/>
  <c r="X237" i="143" s="1"/>
  <c r="X236" i="143" a="1"/>
  <c r="X236" i="143" s="1"/>
  <c r="X235" i="143" a="1"/>
  <c r="X235" i="143" s="1"/>
  <c r="X234" i="143" a="1"/>
  <c r="X234" i="143" s="1"/>
  <c r="X233" i="143" a="1"/>
  <c r="X233" i="143" s="1"/>
  <c r="X232" i="143" a="1"/>
  <c r="X232" i="143" s="1"/>
  <c r="X231" i="143" a="1"/>
  <c r="X231" i="143" s="1"/>
  <c r="X230" i="143" a="1"/>
  <c r="X230" i="143" s="1"/>
  <c r="X229" i="143" a="1"/>
  <c r="X229" i="143" s="1"/>
  <c r="X228" i="143" a="1"/>
  <c r="X228" i="143" s="1"/>
  <c r="X227" i="143" a="1"/>
  <c r="X227" i="143" s="1"/>
  <c r="X226" i="143" a="1"/>
  <c r="X226" i="143" s="1"/>
  <c r="X225" i="143" a="1"/>
  <c r="X225" i="143" s="1"/>
  <c r="X224" i="143" a="1"/>
  <c r="X224" i="143" s="1"/>
  <c r="X223" i="143" a="1"/>
  <c r="X223" i="143" s="1"/>
  <c r="X222" i="143" a="1"/>
  <c r="X222" i="143" s="1"/>
  <c r="X221" i="143" a="1"/>
  <c r="X221" i="143" s="1"/>
  <c r="X220" i="143" a="1"/>
  <c r="X220" i="143" s="1"/>
  <c r="X219" i="143" a="1"/>
  <c r="X219" i="143" s="1"/>
  <c r="X218" i="143" a="1"/>
  <c r="X218" i="143" s="1"/>
  <c r="X217" i="143" a="1"/>
  <c r="X217" i="143" s="1"/>
  <c r="X216" i="143" a="1"/>
  <c r="X216" i="143" s="1"/>
  <c r="X215" i="143" a="1"/>
  <c r="X215" i="143" s="1"/>
  <c r="X214" i="143" a="1"/>
  <c r="X214" i="143" s="1"/>
  <c r="X213" i="143" a="1"/>
  <c r="X213" i="143" s="1"/>
  <c r="X212" i="143" a="1"/>
  <c r="X212" i="143" s="1"/>
  <c r="X211" i="143" a="1"/>
  <c r="X211" i="143" s="1"/>
  <c r="X210" i="143" a="1"/>
  <c r="X210" i="143" s="1"/>
  <c r="X209" i="143" a="1"/>
  <c r="X209" i="143" s="1"/>
  <c r="X208" i="143" a="1"/>
  <c r="X208" i="143" s="1"/>
  <c r="X207" i="143" a="1"/>
  <c r="X207" i="143" s="1"/>
  <c r="X206" i="143" a="1"/>
  <c r="X206" i="143" s="1"/>
  <c r="X205" i="143" a="1"/>
  <c r="X205" i="143" s="1"/>
  <c r="X204" i="143" a="1"/>
  <c r="X204" i="143" s="1"/>
  <c r="X203" i="143" a="1"/>
  <c r="X203" i="143" s="1"/>
  <c r="X202" i="143" a="1"/>
  <c r="X202" i="143" s="1"/>
  <c r="X201" i="143" a="1"/>
  <c r="X201" i="143" s="1"/>
  <c r="X200" i="143" a="1"/>
  <c r="X200" i="143" s="1"/>
  <c r="X199" i="143" a="1"/>
  <c r="X199" i="143" s="1"/>
  <c r="X198" i="143" a="1"/>
  <c r="X198" i="143" s="1"/>
  <c r="X197" i="143" a="1"/>
  <c r="X197" i="143" s="1"/>
  <c r="X196" i="143" a="1"/>
  <c r="X196" i="143" s="1"/>
  <c r="X195" i="143" a="1"/>
  <c r="X195" i="143" s="1"/>
  <c r="X194" i="143" a="1"/>
  <c r="X194" i="143" s="1"/>
  <c r="X193" i="143" a="1"/>
  <c r="X193" i="143" s="1"/>
  <c r="X192" i="143" a="1"/>
  <c r="X192" i="143" s="1"/>
  <c r="X191" i="143" a="1"/>
  <c r="X191" i="143" s="1"/>
  <c r="X190" i="143" a="1"/>
  <c r="X190" i="143" s="1"/>
  <c r="X189" i="143" a="1"/>
  <c r="X189" i="143" s="1"/>
  <c r="X188" i="143" a="1"/>
  <c r="X188" i="143" s="1"/>
  <c r="X187" i="143" a="1"/>
  <c r="X187" i="143" s="1"/>
  <c r="X186" i="143" a="1"/>
  <c r="X186" i="143" s="1"/>
  <c r="X185" i="143" a="1"/>
  <c r="X185" i="143" s="1"/>
  <c r="X184" i="143" a="1"/>
  <c r="X184" i="143" s="1"/>
  <c r="X183" i="143" a="1"/>
  <c r="X183" i="143" s="1"/>
  <c r="X182" i="143" a="1"/>
  <c r="X182" i="143" s="1"/>
  <c r="X181" i="143" a="1"/>
  <c r="X181" i="143" s="1"/>
  <c r="X180" i="143" a="1"/>
  <c r="X180" i="143" s="1"/>
  <c r="X179" i="143" a="1"/>
  <c r="X179" i="143" s="1"/>
  <c r="X178" i="143" a="1"/>
  <c r="X178" i="143" s="1"/>
  <c r="X177" i="143" a="1"/>
  <c r="X177" i="143" s="1"/>
  <c r="X176" i="143" a="1"/>
  <c r="X176" i="143" s="1"/>
  <c r="X175" i="143" a="1"/>
  <c r="X175" i="143" s="1"/>
  <c r="X174" i="143" a="1"/>
  <c r="X174" i="143" s="1"/>
  <c r="X173" i="143" a="1"/>
  <c r="X173" i="143" s="1"/>
  <c r="X172" i="143" a="1"/>
  <c r="X172" i="143" s="1"/>
  <c r="X171" i="143" a="1"/>
  <c r="X171" i="143" s="1"/>
  <c r="X170" i="143" a="1"/>
  <c r="X170" i="143" s="1"/>
  <c r="X169" i="143" a="1"/>
  <c r="X169" i="143" s="1"/>
  <c r="X168" i="143" a="1"/>
  <c r="X168" i="143" s="1"/>
  <c r="X167" i="143" a="1"/>
  <c r="X167" i="143" s="1"/>
  <c r="X166" i="143" a="1"/>
  <c r="X166" i="143" s="1"/>
  <c r="X165" i="143" a="1"/>
  <c r="X165" i="143" s="1"/>
  <c r="X164" i="143" a="1"/>
  <c r="X164" i="143" s="1"/>
  <c r="X163" i="143" a="1"/>
  <c r="X163" i="143" s="1"/>
  <c r="X162" i="143" a="1"/>
  <c r="X162" i="143" s="1"/>
  <c r="X161" i="143" a="1"/>
  <c r="X161" i="143" s="1"/>
  <c r="X160" i="143" a="1"/>
  <c r="X160" i="143" s="1"/>
  <c r="X159" i="143" a="1"/>
  <c r="X159" i="143" s="1"/>
  <c r="X158" i="143" a="1"/>
  <c r="X158" i="143" s="1"/>
  <c r="X157" i="143" a="1"/>
  <c r="X157" i="143" s="1"/>
  <c r="X156" i="143" a="1"/>
  <c r="X156" i="143" s="1"/>
  <c r="X155" i="143" a="1"/>
  <c r="X155" i="143" s="1"/>
  <c r="X154" i="143" a="1"/>
  <c r="X154" i="143" s="1"/>
  <c r="X153" i="143" a="1"/>
  <c r="X153" i="143" s="1"/>
  <c r="X152" i="143" a="1"/>
  <c r="X152" i="143" s="1"/>
  <c r="X151" i="143" a="1"/>
  <c r="X151" i="143" s="1"/>
  <c r="X150" i="143" a="1"/>
  <c r="X150" i="143" s="1"/>
  <c r="X149" i="143" a="1"/>
  <c r="X149" i="143" s="1"/>
  <c r="X148" i="143" a="1"/>
  <c r="X148" i="143" s="1"/>
  <c r="X147" i="143" a="1"/>
  <c r="X147" i="143" s="1"/>
  <c r="X146" i="143" a="1"/>
  <c r="X146" i="143" s="1"/>
  <c r="X145" i="143" a="1"/>
  <c r="X145" i="143" s="1"/>
  <c r="X144" i="143" a="1"/>
  <c r="X144" i="143" s="1"/>
  <c r="X143" i="143" a="1"/>
  <c r="X143" i="143" s="1"/>
  <c r="X142" i="143" a="1"/>
  <c r="X142" i="143" s="1"/>
  <c r="X141" i="143" a="1"/>
  <c r="X141" i="143" s="1"/>
  <c r="X140" i="143" a="1"/>
  <c r="X140" i="143" s="1"/>
  <c r="X139" i="143" a="1"/>
  <c r="X139" i="143" s="1"/>
  <c r="X138" i="143" a="1"/>
  <c r="X138" i="143" s="1"/>
  <c r="X137" i="143" a="1"/>
  <c r="X137" i="143" s="1"/>
  <c r="X136" i="143" a="1"/>
  <c r="X136" i="143" s="1"/>
  <c r="X135" i="143" a="1"/>
  <c r="X135" i="143" s="1"/>
  <c r="X134" i="143" a="1"/>
  <c r="X134" i="143" s="1"/>
  <c r="X133" i="143" a="1"/>
  <c r="X133" i="143" s="1"/>
  <c r="X132" i="143" a="1"/>
  <c r="X132" i="143" s="1"/>
  <c r="X131" i="143" a="1"/>
  <c r="X131" i="143" s="1"/>
  <c r="X130" i="143" a="1"/>
  <c r="X130" i="143" s="1"/>
  <c r="X129" i="143" a="1"/>
  <c r="X129" i="143" s="1"/>
  <c r="X128" i="143" a="1"/>
  <c r="X128" i="143" s="1"/>
  <c r="X127" i="143" a="1"/>
  <c r="X127" i="143" s="1"/>
  <c r="X126" i="143" a="1"/>
  <c r="X126" i="143" s="1"/>
  <c r="X125" i="143" a="1"/>
  <c r="X125" i="143" s="1"/>
  <c r="X124" i="143" a="1"/>
  <c r="X124" i="143" s="1"/>
  <c r="X123" i="143" a="1"/>
  <c r="X123" i="143" s="1"/>
  <c r="X122" i="143" a="1"/>
  <c r="X122" i="143" s="1"/>
  <c r="X121" i="143" a="1"/>
  <c r="X121" i="143" s="1"/>
  <c r="X120" i="143" a="1"/>
  <c r="X120" i="143" s="1"/>
  <c r="X119" i="143" a="1"/>
  <c r="X119" i="143" s="1"/>
  <c r="X118" i="143" a="1"/>
  <c r="X118" i="143" s="1"/>
  <c r="X117" i="143" a="1"/>
  <c r="X117" i="143" s="1"/>
  <c r="X116" i="143" a="1"/>
  <c r="X116" i="143" s="1"/>
  <c r="X115" i="143" a="1"/>
  <c r="X115" i="143" s="1"/>
  <c r="X114" i="143" a="1"/>
  <c r="X114" i="143" s="1"/>
  <c r="X113" i="143" a="1"/>
  <c r="X113" i="143" s="1"/>
  <c r="X112" i="143" a="1"/>
  <c r="X112" i="143" s="1"/>
  <c r="X111" i="143" a="1"/>
  <c r="X111" i="143" s="1"/>
  <c r="X110" i="143" a="1"/>
  <c r="X110" i="143" s="1"/>
  <c r="X109" i="143" a="1"/>
  <c r="X109" i="143" s="1"/>
  <c r="X108" i="143" a="1"/>
  <c r="X108" i="143" s="1"/>
  <c r="X107" i="143" a="1"/>
  <c r="X107" i="143" s="1"/>
  <c r="X106" i="143" a="1"/>
  <c r="X106" i="143" s="1"/>
  <c r="X105" i="143" a="1"/>
  <c r="X105" i="143" s="1"/>
  <c r="X104" i="143" a="1"/>
  <c r="X104" i="143" s="1"/>
  <c r="X103" i="143" a="1"/>
  <c r="X103" i="143" s="1"/>
  <c r="X102" i="143" a="1"/>
  <c r="X102" i="143" s="1"/>
  <c r="X101" i="143" a="1"/>
  <c r="X101" i="143" s="1"/>
  <c r="X100" i="143" a="1"/>
  <c r="X100" i="143" s="1"/>
  <c r="X99" i="143" a="1"/>
  <c r="X99" i="143" s="1"/>
  <c r="X98" i="143" a="1"/>
  <c r="X98" i="143" s="1"/>
  <c r="X97" i="143" a="1"/>
  <c r="X97" i="143" s="1"/>
  <c r="X96" i="143" a="1"/>
  <c r="X96" i="143" s="1"/>
  <c r="X95" i="143" a="1"/>
  <c r="X95" i="143" s="1"/>
  <c r="X94" i="143" a="1"/>
  <c r="X94" i="143" s="1"/>
  <c r="X93" i="143" a="1"/>
  <c r="X93" i="143" s="1"/>
  <c r="X92" i="143" a="1"/>
  <c r="X92" i="143" s="1"/>
  <c r="X91" i="143" a="1"/>
  <c r="X91" i="143" s="1"/>
  <c r="X90" i="143" a="1"/>
  <c r="X90" i="143" s="1"/>
  <c r="X89" i="143" a="1"/>
  <c r="X89" i="143" s="1"/>
  <c r="X88" i="143" a="1"/>
  <c r="X88" i="143" s="1"/>
  <c r="X87" i="143" a="1"/>
  <c r="X87" i="143" s="1"/>
  <c r="X86" i="143" a="1"/>
  <c r="X86" i="143" s="1"/>
  <c r="X85" i="143" a="1"/>
  <c r="X85" i="143" s="1"/>
  <c r="X84" i="143" a="1"/>
  <c r="X84" i="143" s="1"/>
  <c r="X83" i="143" a="1"/>
  <c r="X83" i="143" s="1"/>
  <c r="X82" i="143" a="1"/>
  <c r="X82" i="143" s="1"/>
  <c r="X81" i="143" a="1"/>
  <c r="X81" i="143" s="1"/>
  <c r="X80" i="143" a="1"/>
  <c r="X80" i="143" s="1"/>
  <c r="X79" i="143" a="1"/>
  <c r="X79" i="143" s="1"/>
  <c r="X78" i="143" a="1"/>
  <c r="X78" i="143" s="1"/>
  <c r="X77" i="143" a="1"/>
  <c r="X77" i="143" s="1"/>
  <c r="X76" i="143" a="1"/>
  <c r="X76" i="143" s="1"/>
  <c r="X75" i="143" a="1"/>
  <c r="X75" i="143" s="1"/>
  <c r="X74" i="143" a="1"/>
  <c r="X74" i="143" s="1"/>
  <c r="X73" i="143" a="1"/>
  <c r="X73" i="143" s="1"/>
  <c r="X72" i="143" a="1"/>
  <c r="X72" i="143" s="1"/>
  <c r="X71" i="143" a="1"/>
  <c r="X71" i="143" s="1"/>
  <c r="X70" i="143" a="1"/>
  <c r="X70" i="143" s="1"/>
  <c r="X69" i="143" a="1"/>
  <c r="X69" i="143" s="1"/>
  <c r="X68" i="143" a="1"/>
  <c r="X68" i="143" s="1"/>
  <c r="X67" i="143" a="1"/>
  <c r="X67" i="143" s="1"/>
  <c r="X66" i="143" a="1"/>
  <c r="X66" i="143" s="1"/>
  <c r="X65" i="143" a="1"/>
  <c r="X65" i="143" s="1"/>
  <c r="X64" i="143" a="1"/>
  <c r="X64" i="143" s="1"/>
  <c r="X63" i="143" a="1"/>
  <c r="X63" i="143" s="1"/>
  <c r="X62" i="143" a="1"/>
  <c r="X62" i="143" s="1"/>
  <c r="X61" i="143" a="1"/>
  <c r="X61" i="143" s="1"/>
  <c r="X60" i="143" a="1"/>
  <c r="X60" i="143" s="1"/>
  <c r="X59" i="143" a="1"/>
  <c r="X59" i="143" s="1"/>
  <c r="X58" i="143" a="1"/>
  <c r="X58" i="143" s="1"/>
  <c r="X57" i="143" a="1"/>
  <c r="X57" i="143" s="1"/>
  <c r="X56" i="143" a="1"/>
  <c r="X56" i="143" s="1"/>
  <c r="X55" i="143" a="1"/>
  <c r="X55" i="143" s="1"/>
  <c r="X54" i="143" a="1"/>
  <c r="X54" i="143" s="1"/>
  <c r="X53" i="143" a="1"/>
  <c r="X53" i="143" s="1"/>
  <c r="X52" i="143" a="1"/>
  <c r="X52" i="143" s="1"/>
  <c r="X51" i="143" a="1"/>
  <c r="X51" i="143" s="1"/>
  <c r="X50" i="143" a="1"/>
  <c r="X50" i="143" s="1"/>
  <c r="X49" i="143" a="1"/>
  <c r="X49" i="143" s="1"/>
  <c r="X48" i="143" a="1"/>
  <c r="X48" i="143" s="1"/>
  <c r="X47" i="143" a="1"/>
  <c r="X47" i="143" s="1"/>
  <c r="X46" i="143" a="1"/>
  <c r="X46" i="143" s="1"/>
  <c r="X45" i="143" a="1"/>
  <c r="X45" i="143" s="1"/>
  <c r="X44" i="143" a="1"/>
  <c r="X44" i="143" s="1"/>
  <c r="X43" i="143" a="1"/>
  <c r="X43" i="143" s="1"/>
  <c r="X42" i="143" a="1"/>
  <c r="X42" i="143" s="1"/>
  <c r="X41" i="143" a="1"/>
  <c r="X41" i="143" s="1"/>
  <c r="X40" i="143" a="1"/>
  <c r="X40" i="143" s="1"/>
  <c r="X39" i="143" a="1"/>
  <c r="X39" i="143" s="1"/>
  <c r="X38" i="143" a="1"/>
  <c r="X38" i="143" s="1"/>
  <c r="X37" i="143" a="1"/>
  <c r="X37" i="143" s="1"/>
  <c r="X36" i="143" a="1"/>
  <c r="X36" i="143" s="1"/>
  <c r="X35" i="143" a="1"/>
  <c r="X35" i="143" s="1"/>
  <c r="X34" i="143" a="1"/>
  <c r="X34" i="143" s="1"/>
  <c r="X33" i="143" a="1"/>
  <c r="X33" i="143" s="1"/>
  <c r="X32" i="143" a="1"/>
  <c r="X32" i="143" s="1"/>
  <c r="X31" i="143" a="1"/>
  <c r="X31" i="143" s="1"/>
  <c r="X30" i="143" a="1"/>
  <c r="X30" i="143" s="1"/>
  <c r="X29" i="143" a="1"/>
  <c r="X29" i="143" s="1"/>
  <c r="X28" i="143" a="1"/>
  <c r="X28" i="143" s="1"/>
  <c r="X27" i="143" a="1"/>
  <c r="X27" i="143" s="1"/>
  <c r="X26" i="143" a="1"/>
  <c r="X26" i="143" s="1"/>
  <c r="X25" i="143" a="1"/>
  <c r="X25" i="143" s="1"/>
  <c r="X24" i="143" a="1"/>
  <c r="X24" i="143" s="1"/>
  <c r="X23" i="143" a="1"/>
  <c r="X23" i="143" s="1"/>
  <c r="X22" i="143" a="1"/>
  <c r="X22" i="143" s="1"/>
  <c r="X21" i="143" a="1"/>
  <c r="X21" i="143" s="1"/>
  <c r="X20" i="143" a="1"/>
  <c r="X20" i="143" s="1"/>
  <c r="X19" i="143" a="1"/>
  <c r="X19" i="143" s="1"/>
  <c r="X18" i="143" a="1"/>
  <c r="X18" i="143" s="1"/>
  <c r="X17" i="143" a="1"/>
  <c r="X17" i="143" s="1"/>
  <c r="X16" i="143" a="1"/>
  <c r="X16" i="143" s="1"/>
  <c r="X15" i="143" a="1"/>
  <c r="X15" i="143" s="1"/>
  <c r="X14" i="143" a="1"/>
  <c r="X14" i="143" s="1"/>
  <c r="X13" i="143" a="1"/>
  <c r="X13" i="143" s="1"/>
  <c r="X12" i="143" a="1"/>
  <c r="X12" i="143" s="1"/>
  <c r="X11" i="143" a="1"/>
  <c r="X11" i="143" s="1"/>
  <c r="X10" i="143" a="1"/>
  <c r="X10" i="143" s="1"/>
  <c r="U221" i="145"/>
  <c r="T221" i="145"/>
  <c r="S221" i="145"/>
  <c r="R221" i="145"/>
  <c r="Q221" i="145"/>
  <c r="P221" i="145"/>
  <c r="O221" i="145"/>
  <c r="N221" i="145"/>
  <c r="M221" i="145"/>
  <c r="L221" i="145"/>
  <c r="K221" i="145"/>
  <c r="U220" i="145"/>
  <c r="T220" i="145"/>
  <c r="S220" i="145"/>
  <c r="R220" i="145"/>
  <c r="Q220" i="145"/>
  <c r="P220" i="145"/>
  <c r="O220" i="145"/>
  <c r="N220" i="145"/>
  <c r="M220" i="145"/>
  <c r="L220" i="145"/>
  <c r="K220" i="145"/>
  <c r="U209" i="145"/>
  <c r="T209" i="145"/>
  <c r="S209" i="145"/>
  <c r="R209" i="145"/>
  <c r="Q209" i="145"/>
  <c r="P209" i="145"/>
  <c r="O209" i="145"/>
  <c r="N209" i="145"/>
  <c r="M209" i="145"/>
  <c r="L209" i="145"/>
  <c r="K209" i="145"/>
  <c r="U208" i="145"/>
  <c r="T208" i="145"/>
  <c r="S208" i="145"/>
  <c r="R208" i="145"/>
  <c r="Q208" i="145"/>
  <c r="P208" i="145"/>
  <c r="O208" i="145"/>
  <c r="N208" i="145"/>
  <c r="M208" i="145"/>
  <c r="L208" i="145"/>
  <c r="K208" i="145"/>
  <c r="U201" i="145"/>
  <c r="T201" i="145"/>
  <c r="S201" i="145"/>
  <c r="R201" i="145"/>
  <c r="Q201" i="145"/>
  <c r="P201" i="145"/>
  <c r="O201" i="145"/>
  <c r="N201" i="145"/>
  <c r="M201" i="145"/>
  <c r="L201" i="145"/>
  <c r="K201" i="145"/>
  <c r="U200" i="145"/>
  <c r="T200" i="145"/>
  <c r="S200" i="145"/>
  <c r="R200" i="145"/>
  <c r="Q200" i="145"/>
  <c r="P200" i="145"/>
  <c r="O200" i="145"/>
  <c r="N200" i="145"/>
  <c r="M200" i="145"/>
  <c r="L200" i="145"/>
  <c r="K200" i="145"/>
  <c r="U199" i="145"/>
  <c r="T199" i="145"/>
  <c r="S199" i="145"/>
  <c r="R199" i="145"/>
  <c r="Q199" i="145"/>
  <c r="P199" i="145"/>
  <c r="O199" i="145"/>
  <c r="N199" i="145"/>
  <c r="M199" i="145"/>
  <c r="L199" i="145"/>
  <c r="K199" i="145"/>
  <c r="U198" i="145"/>
  <c r="T198" i="145"/>
  <c r="S198" i="145"/>
  <c r="R198" i="145"/>
  <c r="Q198" i="145"/>
  <c r="P198" i="145"/>
  <c r="O198" i="145"/>
  <c r="N198" i="145"/>
  <c r="M198" i="145"/>
  <c r="L198" i="145"/>
  <c r="K198" i="145"/>
  <c r="U197" i="145"/>
  <c r="T197" i="145"/>
  <c r="S197" i="145"/>
  <c r="R197" i="145"/>
  <c r="Q197" i="145"/>
  <c r="P197" i="145"/>
  <c r="O197" i="145"/>
  <c r="N197" i="145"/>
  <c r="M197" i="145"/>
  <c r="L197" i="145"/>
  <c r="K197" i="145"/>
  <c r="U196" i="145"/>
  <c r="T196" i="145"/>
  <c r="S196" i="145"/>
  <c r="R196" i="145"/>
  <c r="Q196" i="145"/>
  <c r="P196" i="145"/>
  <c r="O196" i="145"/>
  <c r="N196" i="145"/>
  <c r="M196" i="145"/>
  <c r="L196" i="145"/>
  <c r="K196" i="145"/>
  <c r="U195" i="145"/>
  <c r="T195" i="145"/>
  <c r="S195" i="145"/>
  <c r="R195" i="145"/>
  <c r="Q195" i="145"/>
  <c r="P195" i="145"/>
  <c r="O195" i="145"/>
  <c r="N195" i="145"/>
  <c r="M195" i="145"/>
  <c r="L195" i="145"/>
  <c r="K195" i="145"/>
  <c r="U194" i="145"/>
  <c r="T194" i="145"/>
  <c r="S194" i="145"/>
  <c r="R194" i="145"/>
  <c r="Q194" i="145"/>
  <c r="P194" i="145"/>
  <c r="O194" i="145"/>
  <c r="N194" i="145"/>
  <c r="M194" i="145"/>
  <c r="L194" i="145"/>
  <c r="K194" i="145"/>
  <c r="U193" i="145" a="1"/>
  <c r="U193" i="145" s="1"/>
  <c r="T193" i="145" a="1"/>
  <c r="T193" i="145" s="1"/>
  <c r="S193" i="145" a="1"/>
  <c r="S193" i="145" s="1"/>
  <c r="R193" i="145" a="1"/>
  <c r="R193" i="145" s="1"/>
  <c r="Q193" i="145" a="1"/>
  <c r="Q193" i="145" s="1"/>
  <c r="P193" i="145" a="1"/>
  <c r="P193" i="145" s="1"/>
  <c r="O193" i="145" a="1"/>
  <c r="O193" i="145" s="1"/>
  <c r="N193" i="145" a="1"/>
  <c r="N193" i="145" s="1"/>
  <c r="M193" i="145" a="1"/>
  <c r="M193" i="145" s="1"/>
  <c r="L193" i="145" a="1"/>
  <c r="L193" i="145" s="1"/>
  <c r="K193" i="145" a="1"/>
  <c r="K193" i="145" s="1"/>
  <c r="U192" i="145"/>
  <c r="T192" i="145"/>
  <c r="S192" i="145"/>
  <c r="R192" i="145"/>
  <c r="Q192" i="145"/>
  <c r="P192" i="145"/>
  <c r="O192" i="145"/>
  <c r="N192" i="145"/>
  <c r="M192" i="145"/>
  <c r="L192" i="145"/>
  <c r="K192" i="145"/>
  <c r="U191" i="145"/>
  <c r="T191" i="145"/>
  <c r="S191" i="145"/>
  <c r="R191" i="145"/>
  <c r="Q191" i="145"/>
  <c r="P191" i="145"/>
  <c r="O191" i="145"/>
  <c r="N191" i="145"/>
  <c r="M191" i="145"/>
  <c r="L191" i="145"/>
  <c r="K191" i="145"/>
  <c r="U183" i="145"/>
  <c r="T183" i="145"/>
  <c r="S183" i="145"/>
  <c r="R183" i="145"/>
  <c r="Q183" i="145"/>
  <c r="P183" i="145"/>
  <c r="O183" i="145"/>
  <c r="N183" i="145"/>
  <c r="M183" i="145"/>
  <c r="L183" i="145"/>
  <c r="K183" i="145"/>
  <c r="U182" i="145"/>
  <c r="T182" i="145"/>
  <c r="S182" i="145"/>
  <c r="R182" i="145"/>
  <c r="Q182" i="145"/>
  <c r="P182" i="145"/>
  <c r="O182" i="145"/>
  <c r="N182" i="145"/>
  <c r="M182" i="145"/>
  <c r="L182" i="145"/>
  <c r="K182" i="145"/>
  <c r="U166" i="145"/>
  <c r="T166" i="145"/>
  <c r="S166" i="145"/>
  <c r="R166" i="145"/>
  <c r="Q166" i="145"/>
  <c r="P166" i="145"/>
  <c r="O166" i="145"/>
  <c r="N166" i="145"/>
  <c r="M166" i="145"/>
  <c r="L166" i="145"/>
  <c r="K166" i="145"/>
  <c r="U165" i="145"/>
  <c r="T165" i="145"/>
  <c r="S165" i="145"/>
  <c r="R165" i="145"/>
  <c r="Q165" i="145"/>
  <c r="P165" i="145"/>
  <c r="O165" i="145"/>
  <c r="N165" i="145"/>
  <c r="M165" i="145"/>
  <c r="L165" i="145"/>
  <c r="K165" i="145"/>
  <c r="U164" i="145"/>
  <c r="T164" i="145"/>
  <c r="S164" i="145"/>
  <c r="R164" i="145"/>
  <c r="Q164" i="145"/>
  <c r="P164" i="145"/>
  <c r="O164" i="145"/>
  <c r="N164" i="145"/>
  <c r="M164" i="145"/>
  <c r="L164" i="145"/>
  <c r="K164" i="145"/>
  <c r="U163" i="145"/>
  <c r="T163" i="145"/>
  <c r="S163" i="145"/>
  <c r="R163" i="145"/>
  <c r="Q163" i="145"/>
  <c r="P163" i="145"/>
  <c r="O163" i="145"/>
  <c r="N163" i="145"/>
  <c r="M163" i="145"/>
  <c r="L163" i="145"/>
  <c r="K163" i="145"/>
  <c r="U24" i="145"/>
  <c r="T24" i="145"/>
  <c r="S24" i="145"/>
  <c r="R24" i="145"/>
  <c r="Q24" i="145"/>
  <c r="P24" i="145"/>
  <c r="O24" i="145"/>
  <c r="N24" i="145"/>
  <c r="M24" i="145"/>
  <c r="L24" i="145"/>
  <c r="K24" i="145"/>
  <c r="AL54" i="291"/>
  <c r="AL53" i="291"/>
  <c r="AJ51" i="291"/>
  <c r="AI51" i="291"/>
  <c r="AH51" i="291"/>
  <c r="AG51" i="291"/>
  <c r="AF51" i="291"/>
  <c r="AE51" i="291"/>
  <c r="AD51" i="291"/>
  <c r="AC51" i="291"/>
  <c r="AB51" i="291"/>
  <c r="AA51" i="291"/>
  <c r="Z51" i="291"/>
  <c r="Y51" i="291"/>
  <c r="X51" i="291"/>
  <c r="W51" i="291"/>
  <c r="V51" i="291"/>
  <c r="U51" i="291"/>
  <c r="T51" i="291"/>
  <c r="S51" i="291"/>
  <c r="R51" i="291"/>
  <c r="Q51" i="291"/>
  <c r="P51" i="291"/>
  <c r="O51" i="291"/>
  <c r="N51" i="291"/>
  <c r="M51" i="291"/>
  <c r="L51" i="291"/>
  <c r="K51" i="291"/>
  <c r="J51" i="291"/>
  <c r="I51" i="291"/>
  <c r="H51" i="291"/>
  <c r="G51" i="291"/>
  <c r="F51" i="291"/>
  <c r="AL51" i="291" s="1"/>
  <c r="AM50" i="291"/>
  <c r="AL50" i="291"/>
  <c r="AM49" i="291"/>
  <c r="AL49" i="291"/>
  <c r="AM48" i="291"/>
  <c r="AL48" i="291"/>
  <c r="AM47" i="291"/>
  <c r="AL47" i="291"/>
  <c r="AM46" i="291"/>
  <c r="AL46" i="291"/>
  <c r="AM45" i="291"/>
  <c r="AL45" i="291"/>
  <c r="AM44" i="291"/>
  <c r="AL44" i="291"/>
  <c r="AM43" i="291"/>
  <c r="AL43" i="291"/>
  <c r="AM42" i="291"/>
  <c r="AL42" i="291"/>
  <c r="AM41" i="291"/>
  <c r="AL41" i="291"/>
  <c r="AM40" i="291"/>
  <c r="AL40" i="291"/>
  <c r="AM39" i="291"/>
  <c r="AL39" i="291"/>
  <c r="AM38" i="291"/>
  <c r="AL38" i="291"/>
  <c r="AM37" i="291"/>
  <c r="AL37" i="291"/>
  <c r="AM36" i="291"/>
  <c r="AM51" i="291" s="1"/>
  <c r="AL36" i="291"/>
  <c r="AJ33" i="291"/>
  <c r="AI33" i="291"/>
  <c r="AH33" i="291"/>
  <c r="AG33" i="291"/>
  <c r="AF33" i="291"/>
  <c r="AE33" i="291"/>
  <c r="AD33" i="291"/>
  <c r="AC33" i="291"/>
  <c r="AB33" i="291"/>
  <c r="AA33" i="291"/>
  <c r="Z33" i="291"/>
  <c r="Y33" i="291"/>
  <c r="X33" i="291"/>
  <c r="W33" i="291"/>
  <c r="V33" i="291"/>
  <c r="U33" i="291"/>
  <c r="T33" i="291"/>
  <c r="S33" i="291"/>
  <c r="R33" i="291"/>
  <c r="Q33" i="291"/>
  <c r="P33" i="291"/>
  <c r="O33" i="291"/>
  <c r="N33" i="291"/>
  <c r="M33" i="291"/>
  <c r="L33" i="291"/>
  <c r="K33" i="291"/>
  <c r="J33" i="291"/>
  <c r="I33" i="291"/>
  <c r="H33" i="291"/>
  <c r="G33" i="291"/>
  <c r="F33" i="291"/>
  <c r="AL33" i="291" s="1"/>
  <c r="K126" i="145" s="1"/>
  <c r="AL26" i="291"/>
  <c r="K83" i="145" s="1"/>
  <c r="AL25" i="291"/>
  <c r="K80" i="145" s="1"/>
  <c r="AL24" i="291"/>
  <c r="K82" i="145" s="1"/>
  <c r="AL23" i="291"/>
  <c r="K79" i="145" s="1"/>
  <c r="F10" i="291"/>
  <c r="AL54" i="290"/>
  <c r="AL53" i="290"/>
  <c r="AJ51" i="290"/>
  <c r="AI51" i="290"/>
  <c r="AH51" i="290"/>
  <c r="AG51" i="290"/>
  <c r="AF51" i="290"/>
  <c r="AE51" i="290"/>
  <c r="AD51" i="290"/>
  <c r="AC51" i="290"/>
  <c r="AB51" i="290"/>
  <c r="AA51" i="290"/>
  <c r="Z51" i="290"/>
  <c r="Y51" i="290"/>
  <c r="X51" i="290"/>
  <c r="W51" i="290"/>
  <c r="V51" i="290"/>
  <c r="U51" i="290"/>
  <c r="T51" i="290"/>
  <c r="S51" i="290"/>
  <c r="R51" i="290"/>
  <c r="Q51" i="290"/>
  <c r="P51" i="290"/>
  <c r="O51" i="290"/>
  <c r="N51" i="290"/>
  <c r="M51" i="290"/>
  <c r="L51" i="290"/>
  <c r="K51" i="290"/>
  <c r="J51" i="290"/>
  <c r="I51" i="290"/>
  <c r="H51" i="290"/>
  <c r="G51" i="290"/>
  <c r="F51" i="290"/>
  <c r="AL51" i="290" s="1"/>
  <c r="AM50" i="290"/>
  <c r="AL50" i="290"/>
  <c r="AM49" i="290"/>
  <c r="AL49" i="290"/>
  <c r="AM48" i="290"/>
  <c r="AL48" i="290"/>
  <c r="AM47" i="290"/>
  <c r="AL47" i="290"/>
  <c r="AM46" i="290"/>
  <c r="AL46" i="290"/>
  <c r="AM45" i="290"/>
  <c r="AL45" i="290"/>
  <c r="AM44" i="290"/>
  <c r="AL44" i="290"/>
  <c r="AM43" i="290"/>
  <c r="AL43" i="290"/>
  <c r="AM42" i="290"/>
  <c r="AL42" i="290"/>
  <c r="AM41" i="290"/>
  <c r="AL41" i="290"/>
  <c r="AM40" i="290"/>
  <c r="AL40" i="290"/>
  <c r="AM39" i="290"/>
  <c r="AL39" i="290"/>
  <c r="AM38" i="290"/>
  <c r="AL38" i="290"/>
  <c r="AM37" i="290"/>
  <c r="AL37" i="290"/>
  <c r="AM36" i="290"/>
  <c r="AM51" i="290" s="1"/>
  <c r="AL36" i="290"/>
  <c r="AJ33" i="290"/>
  <c r="AI33" i="290"/>
  <c r="AH33" i="290"/>
  <c r="AG33" i="290"/>
  <c r="AF33" i="290"/>
  <c r="AE33" i="290"/>
  <c r="AD33" i="290"/>
  <c r="AC33" i="290"/>
  <c r="AB33" i="290"/>
  <c r="AA33" i="290"/>
  <c r="Z33" i="290"/>
  <c r="Y33" i="290"/>
  <c r="X33" i="290"/>
  <c r="W33" i="290"/>
  <c r="V33" i="290"/>
  <c r="U33" i="290"/>
  <c r="T33" i="290"/>
  <c r="S33" i="290"/>
  <c r="R33" i="290"/>
  <c r="Q33" i="290"/>
  <c r="P33" i="290"/>
  <c r="O33" i="290"/>
  <c r="N33" i="290"/>
  <c r="M33" i="290"/>
  <c r="L33" i="290"/>
  <c r="K33" i="290"/>
  <c r="J33" i="290"/>
  <c r="I33" i="290"/>
  <c r="H33" i="290"/>
  <c r="G33" i="290"/>
  <c r="F33" i="290"/>
  <c r="AL33" i="290" s="1"/>
  <c r="L126" i="145" s="1"/>
  <c r="AL26" i="290"/>
  <c r="L83" i="145" s="1"/>
  <c r="AL25" i="290"/>
  <c r="L80" i="145" s="1"/>
  <c r="AL24" i="290"/>
  <c r="L82" i="145" s="1"/>
  <c r="AL23" i="290"/>
  <c r="L79" i="145" s="1"/>
  <c r="F10" i="290"/>
  <c r="F16" i="290" s="1"/>
  <c r="AL54" i="289"/>
  <c r="AL53" i="289"/>
  <c r="AJ51" i="289"/>
  <c r="AI51" i="289"/>
  <c r="AH51" i="289"/>
  <c r="AG51" i="289"/>
  <c r="AF51" i="289"/>
  <c r="AE51" i="289"/>
  <c r="AD51" i="289"/>
  <c r="AC51" i="289"/>
  <c r="AB51" i="289"/>
  <c r="AA51" i="289"/>
  <c r="Z51" i="289"/>
  <c r="Y51" i="289"/>
  <c r="X51" i="289"/>
  <c r="W51" i="289"/>
  <c r="V51" i="289"/>
  <c r="U51" i="289"/>
  <c r="T51" i="289"/>
  <c r="S51" i="289"/>
  <c r="R51" i="289"/>
  <c r="Q51" i="289"/>
  <c r="P51" i="289"/>
  <c r="O51" i="289"/>
  <c r="N51" i="289"/>
  <c r="M51" i="289"/>
  <c r="L51" i="289"/>
  <c r="K51" i="289"/>
  <c r="J51" i="289"/>
  <c r="I51" i="289"/>
  <c r="H51" i="289"/>
  <c r="G51" i="289"/>
  <c r="F51" i="289"/>
  <c r="AL51" i="289" s="1"/>
  <c r="AM50" i="289"/>
  <c r="AL50" i="289"/>
  <c r="AM49" i="289"/>
  <c r="AL49" i="289"/>
  <c r="AM48" i="289"/>
  <c r="AL48" i="289"/>
  <c r="AM47" i="289"/>
  <c r="AL47" i="289"/>
  <c r="AM46" i="289"/>
  <c r="AL46" i="289"/>
  <c r="AM45" i="289"/>
  <c r="AL45" i="289"/>
  <c r="AM44" i="289"/>
  <c r="AL44" i="289"/>
  <c r="AM43" i="289"/>
  <c r="AL43" i="289"/>
  <c r="AM42" i="289"/>
  <c r="AL42" i="289"/>
  <c r="AM41" i="289"/>
  <c r="AL41" i="289"/>
  <c r="AM40" i="289"/>
  <c r="AL40" i="289"/>
  <c r="AM39" i="289"/>
  <c r="AL39" i="289"/>
  <c r="AM38" i="289"/>
  <c r="AL38" i="289"/>
  <c r="AM37" i="289"/>
  <c r="AL37" i="289"/>
  <c r="AM36" i="289"/>
  <c r="AM51" i="289" s="1"/>
  <c r="AL36" i="289"/>
  <c r="AJ33" i="289"/>
  <c r="AI33" i="289"/>
  <c r="AH33" i="289"/>
  <c r="AG33" i="289"/>
  <c r="AF33" i="289"/>
  <c r="AE33" i="289"/>
  <c r="AD33" i="289"/>
  <c r="AC33" i="289"/>
  <c r="AB33" i="289"/>
  <c r="AA33" i="289"/>
  <c r="Z33" i="289"/>
  <c r="Y33" i="289"/>
  <c r="X33" i="289"/>
  <c r="W33" i="289"/>
  <c r="V33" i="289"/>
  <c r="U33" i="289"/>
  <c r="T33" i="289"/>
  <c r="S33" i="289"/>
  <c r="R33" i="289"/>
  <c r="Q33" i="289"/>
  <c r="P33" i="289"/>
  <c r="O33" i="289"/>
  <c r="N33" i="289"/>
  <c r="M33" i="289"/>
  <c r="L33" i="289"/>
  <c r="K33" i="289"/>
  <c r="J33" i="289"/>
  <c r="I33" i="289"/>
  <c r="H33" i="289"/>
  <c r="G33" i="289"/>
  <c r="F33" i="289"/>
  <c r="AL33" i="289" s="1"/>
  <c r="M126" i="145" s="1"/>
  <c r="AL26" i="289"/>
  <c r="M83" i="145" s="1"/>
  <c r="AL25" i="289"/>
  <c r="M80" i="145" s="1"/>
  <c r="AL24" i="289"/>
  <c r="M82" i="145" s="1"/>
  <c r="AL23" i="289"/>
  <c r="M79" i="145" s="1"/>
  <c r="F10" i="289"/>
  <c r="F16" i="289" s="1"/>
  <c r="AL54" i="288"/>
  <c r="AL53" i="288"/>
  <c r="AJ51" i="288"/>
  <c r="AI51" i="288"/>
  <c r="AH51" i="288"/>
  <c r="AG51" i="288"/>
  <c r="AF51" i="288"/>
  <c r="AE51" i="288"/>
  <c r="AD51" i="288"/>
  <c r="AC51" i="288"/>
  <c r="AB51" i="288"/>
  <c r="AA51" i="288"/>
  <c r="Z51" i="288"/>
  <c r="Y51" i="288"/>
  <c r="X51" i="288"/>
  <c r="W51" i="288"/>
  <c r="V51" i="288"/>
  <c r="U51" i="288"/>
  <c r="T51" i="288"/>
  <c r="S51" i="288"/>
  <c r="R51" i="288"/>
  <c r="Q51" i="288"/>
  <c r="P51" i="288"/>
  <c r="O51" i="288"/>
  <c r="N51" i="288"/>
  <c r="M51" i="288"/>
  <c r="L51" i="288"/>
  <c r="K51" i="288"/>
  <c r="J51" i="288"/>
  <c r="I51" i="288"/>
  <c r="H51" i="288"/>
  <c r="G51" i="288"/>
  <c r="F51" i="288"/>
  <c r="AL51" i="288" s="1"/>
  <c r="AM50" i="288"/>
  <c r="AL50" i="288"/>
  <c r="AM49" i="288"/>
  <c r="AL49" i="288"/>
  <c r="AM48" i="288"/>
  <c r="AL48" i="288"/>
  <c r="AM47" i="288"/>
  <c r="AL47" i="288"/>
  <c r="AM46" i="288"/>
  <c r="AL46" i="288"/>
  <c r="AM45" i="288"/>
  <c r="AL45" i="288"/>
  <c r="AM44" i="288"/>
  <c r="AL44" i="288"/>
  <c r="AM43" i="288"/>
  <c r="AL43" i="288"/>
  <c r="AM42" i="288"/>
  <c r="AL42" i="288"/>
  <c r="AM41" i="288"/>
  <c r="AL41" i="288"/>
  <c r="AM40" i="288"/>
  <c r="AL40" i="288"/>
  <c r="AM39" i="288"/>
  <c r="AL39" i="288"/>
  <c r="AM38" i="288"/>
  <c r="AL38" i="288"/>
  <c r="AM37" i="288"/>
  <c r="AL37" i="288"/>
  <c r="AM36" i="288"/>
  <c r="AM51" i="288" s="1"/>
  <c r="AL36" i="288"/>
  <c r="AJ33" i="288"/>
  <c r="AI33" i="288"/>
  <c r="AH33" i="288"/>
  <c r="AG33" i="288"/>
  <c r="AF33" i="288"/>
  <c r="AE33" i="288"/>
  <c r="AD33" i="288"/>
  <c r="AC33" i="288"/>
  <c r="AB33" i="288"/>
  <c r="AA33" i="288"/>
  <c r="Z33" i="288"/>
  <c r="Y33" i="288"/>
  <c r="X33" i="288"/>
  <c r="W33" i="288"/>
  <c r="V33" i="288"/>
  <c r="U33" i="288"/>
  <c r="T33" i="288"/>
  <c r="S33" i="288"/>
  <c r="R33" i="288"/>
  <c r="Q33" i="288"/>
  <c r="P33" i="288"/>
  <c r="O33" i="288"/>
  <c r="N33" i="288"/>
  <c r="M33" i="288"/>
  <c r="L33" i="288"/>
  <c r="K33" i="288"/>
  <c r="J33" i="288"/>
  <c r="I33" i="288"/>
  <c r="H33" i="288"/>
  <c r="G33" i="288"/>
  <c r="F33" i="288"/>
  <c r="AL33" i="288" s="1"/>
  <c r="N126" i="145" s="1"/>
  <c r="AL26" i="288"/>
  <c r="N83" i="145" s="1"/>
  <c r="AL25" i="288"/>
  <c r="N80" i="145" s="1"/>
  <c r="AL24" i="288"/>
  <c r="N82" i="145" s="1"/>
  <c r="AL23" i="288"/>
  <c r="N79" i="145" s="1"/>
  <c r="F10" i="288"/>
  <c r="F16" i="288" s="1"/>
  <c r="AL54" i="287"/>
  <c r="AL53" i="287"/>
  <c r="AJ51" i="287"/>
  <c r="AI51" i="287"/>
  <c r="AH51" i="287"/>
  <c r="AG51" i="287"/>
  <c r="AF51" i="287"/>
  <c r="AE51" i="287"/>
  <c r="AD51" i="287"/>
  <c r="AC51" i="287"/>
  <c r="AB51" i="287"/>
  <c r="AA51" i="287"/>
  <c r="Z51" i="287"/>
  <c r="Y51" i="287"/>
  <c r="X51" i="287"/>
  <c r="W51" i="287"/>
  <c r="V51" i="287"/>
  <c r="U51" i="287"/>
  <c r="T51" i="287"/>
  <c r="S51" i="287"/>
  <c r="R51" i="287"/>
  <c r="Q51" i="287"/>
  <c r="P51" i="287"/>
  <c r="O51" i="287"/>
  <c r="N51" i="287"/>
  <c r="M51" i="287"/>
  <c r="L51" i="287"/>
  <c r="K51" i="287"/>
  <c r="J51" i="287"/>
  <c r="I51" i="287"/>
  <c r="H51" i="287"/>
  <c r="G51" i="287"/>
  <c r="F51" i="287"/>
  <c r="AL51" i="287" s="1"/>
  <c r="AM50" i="287"/>
  <c r="AL50" i="287"/>
  <c r="AM49" i="287"/>
  <c r="AL49" i="287"/>
  <c r="AM48" i="287"/>
  <c r="AL48" i="287"/>
  <c r="AM47" i="287"/>
  <c r="AL47" i="287"/>
  <c r="AM46" i="287"/>
  <c r="AL46" i="287"/>
  <c r="AM45" i="287"/>
  <c r="AL45" i="287"/>
  <c r="AM44" i="287"/>
  <c r="AL44" i="287"/>
  <c r="AM43" i="287"/>
  <c r="AL43" i="287"/>
  <c r="AM42" i="287"/>
  <c r="AL42" i="287"/>
  <c r="AM41" i="287"/>
  <c r="AL41" i="287"/>
  <c r="AM40" i="287"/>
  <c r="AL40" i="287"/>
  <c r="AM39" i="287"/>
  <c r="AL39" i="287"/>
  <c r="AM38" i="287"/>
  <c r="AL38" i="287"/>
  <c r="AM37" i="287"/>
  <c r="AL37" i="287"/>
  <c r="AM36" i="287"/>
  <c r="AM51" i="287" s="1"/>
  <c r="AL36" i="287"/>
  <c r="AJ33" i="287"/>
  <c r="AI33" i="287"/>
  <c r="AH33" i="287"/>
  <c r="AG33" i="287"/>
  <c r="AF33" i="287"/>
  <c r="AE33" i="287"/>
  <c r="AD33" i="287"/>
  <c r="AC33" i="287"/>
  <c r="AB33" i="287"/>
  <c r="AA33" i="287"/>
  <c r="Z33" i="287"/>
  <c r="Y33" i="287"/>
  <c r="X33" i="287"/>
  <c r="W33" i="287"/>
  <c r="V33" i="287"/>
  <c r="U33" i="287"/>
  <c r="T33" i="287"/>
  <c r="S33" i="287"/>
  <c r="R33" i="287"/>
  <c r="Q33" i="287"/>
  <c r="P33" i="287"/>
  <c r="O33" i="287"/>
  <c r="N33" i="287"/>
  <c r="M33" i="287"/>
  <c r="L33" i="287"/>
  <c r="K33" i="287"/>
  <c r="J33" i="287"/>
  <c r="I33" i="287"/>
  <c r="H33" i="287"/>
  <c r="G33" i="287"/>
  <c r="F33" i="287"/>
  <c r="AL33" i="287" s="1"/>
  <c r="O126" i="145" s="1"/>
  <c r="AL26" i="287"/>
  <c r="O83" i="145" s="1"/>
  <c r="AL25" i="287"/>
  <c r="O80" i="145" s="1"/>
  <c r="AL24" i="287"/>
  <c r="O82" i="145" s="1"/>
  <c r="AL23" i="287"/>
  <c r="O79" i="145" s="1"/>
  <c r="F10" i="287"/>
  <c r="F16" i="287" s="1"/>
  <c r="AL54" i="286"/>
  <c r="AL53" i="286"/>
  <c r="AJ51" i="286"/>
  <c r="AI51" i="286"/>
  <c r="AH51" i="286"/>
  <c r="AG51" i="286"/>
  <c r="AF51" i="286"/>
  <c r="AE51" i="286"/>
  <c r="AD51" i="286"/>
  <c r="AC51" i="286"/>
  <c r="AB51" i="286"/>
  <c r="AA51" i="286"/>
  <c r="Z51" i="286"/>
  <c r="Y51" i="286"/>
  <c r="X51" i="286"/>
  <c r="W51" i="286"/>
  <c r="V51" i="286"/>
  <c r="U51" i="286"/>
  <c r="T51" i="286"/>
  <c r="S51" i="286"/>
  <c r="R51" i="286"/>
  <c r="Q51" i="286"/>
  <c r="P51" i="286"/>
  <c r="O51" i="286"/>
  <c r="N51" i="286"/>
  <c r="M51" i="286"/>
  <c r="L51" i="286"/>
  <c r="K51" i="286"/>
  <c r="J51" i="286"/>
  <c r="I51" i="286"/>
  <c r="H51" i="286"/>
  <c r="G51" i="286"/>
  <c r="F51" i="286"/>
  <c r="AL51" i="286" s="1"/>
  <c r="AM50" i="286"/>
  <c r="AL50" i="286"/>
  <c r="AM49" i="286"/>
  <c r="AL49" i="286"/>
  <c r="AM48" i="286"/>
  <c r="AL48" i="286"/>
  <c r="AM47" i="286"/>
  <c r="AL47" i="286"/>
  <c r="AM46" i="286"/>
  <c r="AL46" i="286"/>
  <c r="AM45" i="286"/>
  <c r="AL45" i="286"/>
  <c r="AM44" i="286"/>
  <c r="AL44" i="286"/>
  <c r="AM43" i="286"/>
  <c r="AL43" i="286"/>
  <c r="AM42" i="286"/>
  <c r="AL42" i="286"/>
  <c r="AM41" i="286"/>
  <c r="AL41" i="286"/>
  <c r="AM40" i="286"/>
  <c r="AL40" i="286"/>
  <c r="AM39" i="286"/>
  <c r="AL39" i="286"/>
  <c r="AM38" i="286"/>
  <c r="AL38" i="286"/>
  <c r="AM37" i="286"/>
  <c r="AL37" i="286"/>
  <c r="AM36" i="286"/>
  <c r="AM51" i="286" s="1"/>
  <c r="AL36" i="286"/>
  <c r="AJ33" i="286"/>
  <c r="AI33" i="286"/>
  <c r="AH33" i="286"/>
  <c r="AG33" i="286"/>
  <c r="AF33" i="286"/>
  <c r="AE33" i="286"/>
  <c r="AD33" i="286"/>
  <c r="AC33" i="286"/>
  <c r="AB33" i="286"/>
  <c r="AA33" i="286"/>
  <c r="Z33" i="286"/>
  <c r="Y33" i="286"/>
  <c r="X33" i="286"/>
  <c r="W33" i="286"/>
  <c r="V33" i="286"/>
  <c r="U33" i="286"/>
  <c r="T33" i="286"/>
  <c r="S33" i="286"/>
  <c r="R33" i="286"/>
  <c r="Q33" i="286"/>
  <c r="P33" i="286"/>
  <c r="O33" i="286"/>
  <c r="N33" i="286"/>
  <c r="M33" i="286"/>
  <c r="L33" i="286"/>
  <c r="K33" i="286"/>
  <c r="J33" i="286"/>
  <c r="I33" i="286"/>
  <c r="H33" i="286"/>
  <c r="G33" i="286"/>
  <c r="F33" i="286"/>
  <c r="AL33" i="286" s="1"/>
  <c r="P126" i="145" s="1"/>
  <c r="AL26" i="286"/>
  <c r="P83" i="145" s="1"/>
  <c r="AL25" i="286"/>
  <c r="P80" i="145" s="1"/>
  <c r="AL24" i="286"/>
  <c r="P82" i="145" s="1"/>
  <c r="AL23" i="286"/>
  <c r="P79" i="145" s="1"/>
  <c r="F10" i="286"/>
  <c r="AL54" i="285"/>
  <c r="AL53" i="285"/>
  <c r="AJ51" i="285"/>
  <c r="AI51" i="285"/>
  <c r="AH51" i="285"/>
  <c r="AG51" i="285"/>
  <c r="AF51" i="285"/>
  <c r="AE51" i="285"/>
  <c r="AD51" i="285"/>
  <c r="AC51" i="285"/>
  <c r="AB51" i="285"/>
  <c r="AA51" i="285"/>
  <c r="Z51" i="285"/>
  <c r="Y51" i="285"/>
  <c r="X51" i="285"/>
  <c r="W51" i="285"/>
  <c r="V51" i="285"/>
  <c r="U51" i="285"/>
  <c r="T51" i="285"/>
  <c r="S51" i="285"/>
  <c r="R51" i="285"/>
  <c r="Q51" i="285"/>
  <c r="P51" i="285"/>
  <c r="O51" i="285"/>
  <c r="N51" i="285"/>
  <c r="M51" i="285"/>
  <c r="L51" i="285"/>
  <c r="K51" i="285"/>
  <c r="J51" i="285"/>
  <c r="I51" i="285"/>
  <c r="H51" i="285"/>
  <c r="G51" i="285"/>
  <c r="F51" i="285"/>
  <c r="AL51" i="285" s="1"/>
  <c r="AM50" i="285"/>
  <c r="AL50" i="285"/>
  <c r="AM49" i="285"/>
  <c r="AL49" i="285"/>
  <c r="AM48" i="285"/>
  <c r="AL48" i="285"/>
  <c r="AM47" i="285"/>
  <c r="AL47" i="285"/>
  <c r="AM46" i="285"/>
  <c r="AL46" i="285"/>
  <c r="AM45" i="285"/>
  <c r="AL45" i="285"/>
  <c r="AM44" i="285"/>
  <c r="AL44" i="285"/>
  <c r="AM43" i="285"/>
  <c r="AL43" i="285"/>
  <c r="AM42" i="285"/>
  <c r="AL42" i="285"/>
  <c r="AM41" i="285"/>
  <c r="AL41" i="285"/>
  <c r="AM40" i="285"/>
  <c r="AL40" i="285"/>
  <c r="AM39" i="285"/>
  <c r="AL39" i="285"/>
  <c r="AM38" i="285"/>
  <c r="AL38" i="285"/>
  <c r="AM37" i="285"/>
  <c r="AL37" i="285"/>
  <c r="AM36" i="285"/>
  <c r="AM51" i="285" s="1"/>
  <c r="AL36" i="285"/>
  <c r="AJ33" i="285"/>
  <c r="AI33" i="285"/>
  <c r="AH33" i="285"/>
  <c r="AG33" i="285"/>
  <c r="AF33" i="285"/>
  <c r="AE33" i="285"/>
  <c r="AD33" i="285"/>
  <c r="AC33" i="285"/>
  <c r="AB33" i="285"/>
  <c r="AA33" i="285"/>
  <c r="Z33" i="285"/>
  <c r="Y33" i="285"/>
  <c r="X33" i="285"/>
  <c r="W33" i="285"/>
  <c r="V33" i="285"/>
  <c r="U33" i="285"/>
  <c r="T33" i="285"/>
  <c r="S33" i="285"/>
  <c r="R33" i="285"/>
  <c r="Q33" i="285"/>
  <c r="P33" i="285"/>
  <c r="O33" i="285"/>
  <c r="N33" i="285"/>
  <c r="M33" i="285"/>
  <c r="L33" i="285"/>
  <c r="K33" i="285"/>
  <c r="J33" i="285"/>
  <c r="I33" i="285"/>
  <c r="H33" i="285"/>
  <c r="G33" i="285"/>
  <c r="F33" i="285"/>
  <c r="AL33" i="285" s="1"/>
  <c r="Q126" i="145" s="1"/>
  <c r="AL26" i="285"/>
  <c r="Q83" i="145" s="1"/>
  <c r="AL25" i="285"/>
  <c r="Q80" i="145" s="1"/>
  <c r="AL24" i="285"/>
  <c r="Q82" i="145" s="1"/>
  <c r="AL23" i="285"/>
  <c r="Q79" i="145" s="1"/>
  <c r="F10" i="285"/>
  <c r="AL54" i="284"/>
  <c r="AL53" i="284"/>
  <c r="AJ51" i="284"/>
  <c r="AI51" i="284"/>
  <c r="AH51" i="284"/>
  <c r="AG51" i="284"/>
  <c r="AF51" i="284"/>
  <c r="AE51" i="284"/>
  <c r="AD51" i="284"/>
  <c r="AC51" i="284"/>
  <c r="AB51" i="284"/>
  <c r="AA51" i="284"/>
  <c r="Z51" i="284"/>
  <c r="Y51" i="284"/>
  <c r="X51" i="284"/>
  <c r="W51" i="284"/>
  <c r="V51" i="284"/>
  <c r="U51" i="284"/>
  <c r="T51" i="284"/>
  <c r="S51" i="284"/>
  <c r="R51" i="284"/>
  <c r="Q51" i="284"/>
  <c r="P51" i="284"/>
  <c r="O51" i="284"/>
  <c r="N51" i="284"/>
  <c r="M51" i="284"/>
  <c r="L51" i="284"/>
  <c r="K51" i="284"/>
  <c r="J51" i="284"/>
  <c r="I51" i="284"/>
  <c r="H51" i="284"/>
  <c r="G51" i="284"/>
  <c r="F51" i="284"/>
  <c r="AL51" i="284" s="1"/>
  <c r="AM50" i="284"/>
  <c r="AL50" i="284"/>
  <c r="AM49" i="284"/>
  <c r="AL49" i="284"/>
  <c r="AM48" i="284"/>
  <c r="AL48" i="284"/>
  <c r="AM47" i="284"/>
  <c r="AL47" i="284"/>
  <c r="AM46" i="284"/>
  <c r="AL46" i="284"/>
  <c r="AM45" i="284"/>
  <c r="AL45" i="284"/>
  <c r="AM44" i="284"/>
  <c r="AL44" i="284"/>
  <c r="AM43" i="284"/>
  <c r="AL43" i="284"/>
  <c r="AM42" i="284"/>
  <c r="AL42" i="284"/>
  <c r="AM41" i="284"/>
  <c r="AL41" i="284"/>
  <c r="AM40" i="284"/>
  <c r="AL40" i="284"/>
  <c r="AM39" i="284"/>
  <c r="AL39" i="284"/>
  <c r="AM38" i="284"/>
  <c r="AL38" i="284"/>
  <c r="AM37" i="284"/>
  <c r="AL37" i="284"/>
  <c r="AM36" i="284"/>
  <c r="AM51" i="284" s="1"/>
  <c r="AL36" i="284"/>
  <c r="AJ33" i="284"/>
  <c r="AI33" i="284"/>
  <c r="AH33" i="284"/>
  <c r="AG33" i="284"/>
  <c r="AF33" i="284"/>
  <c r="AE33" i="284"/>
  <c r="AD33" i="284"/>
  <c r="AC33" i="284"/>
  <c r="AB33" i="284"/>
  <c r="AA33" i="284"/>
  <c r="Z33" i="284"/>
  <c r="Y33" i="284"/>
  <c r="X33" i="284"/>
  <c r="W33" i="284"/>
  <c r="V33" i="284"/>
  <c r="U33" i="284"/>
  <c r="T33" i="284"/>
  <c r="S33" i="284"/>
  <c r="R33" i="284"/>
  <c r="Q33" i="284"/>
  <c r="P33" i="284"/>
  <c r="O33" i="284"/>
  <c r="N33" i="284"/>
  <c r="M33" i="284"/>
  <c r="L33" i="284"/>
  <c r="K33" i="284"/>
  <c r="J33" i="284"/>
  <c r="I33" i="284"/>
  <c r="H33" i="284"/>
  <c r="G33" i="284"/>
  <c r="F33" i="284"/>
  <c r="AL26" i="284"/>
  <c r="R83" i="145" s="1"/>
  <c r="AL25" i="284"/>
  <c r="R80" i="145" s="1"/>
  <c r="AL24" i="284"/>
  <c r="R82" i="145" s="1"/>
  <c r="AL23" i="284"/>
  <c r="R79" i="145" s="1"/>
  <c r="F10" i="284"/>
  <c r="AL54" i="283"/>
  <c r="AL53" i="283"/>
  <c r="AJ51" i="283"/>
  <c r="AI51" i="283"/>
  <c r="AH51" i="283"/>
  <c r="AG51" i="283"/>
  <c r="AF51" i="283"/>
  <c r="AE51" i="283"/>
  <c r="AD51" i="283"/>
  <c r="AC51" i="283"/>
  <c r="AB51" i="283"/>
  <c r="AA51" i="283"/>
  <c r="Z51" i="283"/>
  <c r="Y51" i="283"/>
  <c r="X51" i="283"/>
  <c r="W51" i="283"/>
  <c r="V51" i="283"/>
  <c r="U51" i="283"/>
  <c r="T51" i="283"/>
  <c r="S51" i="283"/>
  <c r="R51" i="283"/>
  <c r="Q51" i="283"/>
  <c r="P51" i="283"/>
  <c r="O51" i="283"/>
  <c r="N51" i="283"/>
  <c r="M51" i="283"/>
  <c r="L51" i="283"/>
  <c r="K51" i="283"/>
  <c r="J51" i="283"/>
  <c r="I51" i="283"/>
  <c r="H51" i="283"/>
  <c r="G51" i="283"/>
  <c r="F51" i="283"/>
  <c r="AL51" i="283" s="1"/>
  <c r="AM50" i="283"/>
  <c r="AL50" i="283"/>
  <c r="AM49" i="283"/>
  <c r="AL49" i="283"/>
  <c r="AM48" i="283"/>
  <c r="AL48" i="283"/>
  <c r="AM47" i="283"/>
  <c r="AL47" i="283"/>
  <c r="AM46" i="283"/>
  <c r="AL46" i="283"/>
  <c r="AM45" i="283"/>
  <c r="AL45" i="283"/>
  <c r="AM44" i="283"/>
  <c r="AL44" i="283"/>
  <c r="AM43" i="283"/>
  <c r="AL43" i="283"/>
  <c r="AM42" i="283"/>
  <c r="AL42" i="283"/>
  <c r="AM41" i="283"/>
  <c r="AL41" i="283"/>
  <c r="AM40" i="283"/>
  <c r="AL40" i="283"/>
  <c r="AM39" i="283"/>
  <c r="AL39" i="283"/>
  <c r="AM38" i="283"/>
  <c r="AL38" i="283"/>
  <c r="AM37" i="283"/>
  <c r="AL37" i="283"/>
  <c r="AM36" i="283"/>
  <c r="AM51" i="283" s="1"/>
  <c r="AL36" i="283"/>
  <c r="AJ33" i="283"/>
  <c r="AI33" i="283"/>
  <c r="AH33" i="283"/>
  <c r="AG33" i="283"/>
  <c r="AF33" i="283"/>
  <c r="AE33" i="283"/>
  <c r="AD33" i="283"/>
  <c r="AC33" i="283"/>
  <c r="AB33" i="283"/>
  <c r="AA33" i="283"/>
  <c r="Z33" i="283"/>
  <c r="Y33" i="283"/>
  <c r="X33" i="283"/>
  <c r="W33" i="283"/>
  <c r="V33" i="283"/>
  <c r="U33" i="283"/>
  <c r="T33" i="283"/>
  <c r="S33" i="283"/>
  <c r="R33" i="283"/>
  <c r="Q33" i="283"/>
  <c r="P33" i="283"/>
  <c r="O33" i="283"/>
  <c r="N33" i="283"/>
  <c r="M33" i="283"/>
  <c r="L33" i="283"/>
  <c r="K33" i="283"/>
  <c r="J33" i="283"/>
  <c r="I33" i="283"/>
  <c r="H33" i="283"/>
  <c r="G33" i="283"/>
  <c r="F33" i="283"/>
  <c r="AL33" i="283" s="1"/>
  <c r="S126" i="145" s="1"/>
  <c r="AL26" i="283"/>
  <c r="S83" i="145" s="1"/>
  <c r="AL25" i="283"/>
  <c r="S80" i="145" s="1"/>
  <c r="AL24" i="283"/>
  <c r="S82" i="145" s="1"/>
  <c r="AL23" i="283"/>
  <c r="S79" i="145" s="1"/>
  <c r="F10" i="283"/>
  <c r="AL54" i="282"/>
  <c r="AL53" i="282"/>
  <c r="AJ51" i="282"/>
  <c r="AI51" i="282"/>
  <c r="AH51" i="282"/>
  <c r="AG51" i="282"/>
  <c r="AF51" i="282"/>
  <c r="AE51" i="282"/>
  <c r="AD51" i="282"/>
  <c r="AC51" i="282"/>
  <c r="AB51" i="282"/>
  <c r="AA51" i="282"/>
  <c r="Z51" i="282"/>
  <c r="Y51" i="282"/>
  <c r="X51" i="282"/>
  <c r="W51" i="282"/>
  <c r="V51" i="282"/>
  <c r="U51" i="282"/>
  <c r="T51" i="282"/>
  <c r="S51" i="282"/>
  <c r="R51" i="282"/>
  <c r="Q51" i="282"/>
  <c r="P51" i="282"/>
  <c r="O51" i="282"/>
  <c r="N51" i="282"/>
  <c r="M51" i="282"/>
  <c r="L51" i="282"/>
  <c r="K51" i="282"/>
  <c r="J51" i="282"/>
  <c r="I51" i="282"/>
  <c r="H51" i="282"/>
  <c r="G51" i="282"/>
  <c r="F51" i="282"/>
  <c r="AL51" i="282" s="1"/>
  <c r="AM50" i="282"/>
  <c r="AL50" i="282"/>
  <c r="AM49" i="282"/>
  <c r="AL49" i="282"/>
  <c r="AM48" i="282"/>
  <c r="AL48" i="282"/>
  <c r="AM47" i="282"/>
  <c r="AL47" i="282"/>
  <c r="AM46" i="282"/>
  <c r="AL46" i="282"/>
  <c r="AM45" i="282"/>
  <c r="AL45" i="282"/>
  <c r="AM44" i="282"/>
  <c r="AL44" i="282"/>
  <c r="AM43" i="282"/>
  <c r="AL43" i="282"/>
  <c r="AM42" i="282"/>
  <c r="AL42" i="282"/>
  <c r="AM41" i="282"/>
  <c r="AL41" i="282"/>
  <c r="AM40" i="282"/>
  <c r="AL40" i="282"/>
  <c r="AM39" i="282"/>
  <c r="AL39" i="282"/>
  <c r="AM38" i="282"/>
  <c r="AL38" i="282"/>
  <c r="AM37" i="282"/>
  <c r="AL37" i="282"/>
  <c r="AM36" i="282"/>
  <c r="AM51" i="282" s="1"/>
  <c r="AL36" i="282"/>
  <c r="AJ33" i="282"/>
  <c r="AI33" i="282"/>
  <c r="AH33" i="282"/>
  <c r="AG33" i="282"/>
  <c r="AF33" i="282"/>
  <c r="AE33" i="282"/>
  <c r="AD33" i="282"/>
  <c r="AC33" i="282"/>
  <c r="AB33" i="282"/>
  <c r="AA33" i="282"/>
  <c r="Z33" i="282"/>
  <c r="Y33" i="282"/>
  <c r="X33" i="282"/>
  <c r="W33" i="282"/>
  <c r="V33" i="282"/>
  <c r="U33" i="282"/>
  <c r="T33" i="282"/>
  <c r="S33" i="282"/>
  <c r="R33" i="282"/>
  <c r="Q33" i="282"/>
  <c r="P33" i="282"/>
  <c r="O33" i="282"/>
  <c r="N33" i="282"/>
  <c r="M33" i="282"/>
  <c r="L33" i="282"/>
  <c r="K33" i="282"/>
  <c r="J33" i="282"/>
  <c r="I33" i="282"/>
  <c r="H33" i="282"/>
  <c r="G33" i="282"/>
  <c r="F33" i="282"/>
  <c r="AL33" i="282" s="1"/>
  <c r="T126" i="145" s="1"/>
  <c r="AL26" i="282"/>
  <c r="T83" i="145" s="1"/>
  <c r="AL25" i="282"/>
  <c r="T80" i="145" s="1"/>
  <c r="AL24" i="282"/>
  <c r="T82" i="145" s="1"/>
  <c r="AL23" i="282"/>
  <c r="T79" i="145" s="1"/>
  <c r="F10" i="282"/>
  <c r="AL54" i="281"/>
  <c r="AL53" i="281"/>
  <c r="AJ51" i="281"/>
  <c r="AI51" i="281"/>
  <c r="AH51" i="281"/>
  <c r="AG51" i="281"/>
  <c r="AF51" i="281"/>
  <c r="AE51" i="281"/>
  <c r="AD51" i="281"/>
  <c r="AC51" i="281"/>
  <c r="AB51" i="281"/>
  <c r="AA51" i="281"/>
  <c r="Z51" i="281"/>
  <c r="Y51" i="281"/>
  <c r="X51" i="281"/>
  <c r="W51" i="281"/>
  <c r="V51" i="281"/>
  <c r="U51" i="281"/>
  <c r="T51" i="281"/>
  <c r="S51" i="281"/>
  <c r="R51" i="281"/>
  <c r="Q51" i="281"/>
  <c r="P51" i="281"/>
  <c r="O51" i="281"/>
  <c r="N51" i="281"/>
  <c r="M51" i="281"/>
  <c r="L51" i="281"/>
  <c r="K51" i="281"/>
  <c r="J51" i="281"/>
  <c r="I51" i="281"/>
  <c r="H51" i="281"/>
  <c r="G51" i="281"/>
  <c r="F51" i="281"/>
  <c r="AL51" i="281" s="1"/>
  <c r="AM50" i="281"/>
  <c r="AL50" i="281"/>
  <c r="AM49" i="281"/>
  <c r="AL49" i="281"/>
  <c r="AM48" i="281"/>
  <c r="AL48" i="281"/>
  <c r="AM47" i="281"/>
  <c r="AL47" i="281"/>
  <c r="AM46" i="281"/>
  <c r="AL46" i="281"/>
  <c r="AM45" i="281"/>
  <c r="AL45" i="281"/>
  <c r="AM44" i="281"/>
  <c r="AL44" i="281"/>
  <c r="AM43" i="281"/>
  <c r="AL43" i="281"/>
  <c r="AM42" i="281"/>
  <c r="AL42" i="281"/>
  <c r="AM41" i="281"/>
  <c r="AL41" i="281"/>
  <c r="AM40" i="281"/>
  <c r="AL40" i="281"/>
  <c r="AM39" i="281"/>
  <c r="AL39" i="281"/>
  <c r="AM38" i="281"/>
  <c r="AL38" i="281"/>
  <c r="AM37" i="281"/>
  <c r="AL37" i="281"/>
  <c r="AM36" i="281"/>
  <c r="AM51" i="281" s="1"/>
  <c r="AL36" i="281"/>
  <c r="AJ33" i="281"/>
  <c r="AI33" i="281"/>
  <c r="AH33" i="281"/>
  <c r="AG33" i="281"/>
  <c r="AF33" i="281"/>
  <c r="AE33" i="281"/>
  <c r="AD33" i="281"/>
  <c r="AC33" i="281"/>
  <c r="AB33" i="281"/>
  <c r="AA33" i="281"/>
  <c r="Z33" i="281"/>
  <c r="Y33" i="281"/>
  <c r="X33" i="281"/>
  <c r="W33" i="281"/>
  <c r="V33" i="281"/>
  <c r="U33" i="281"/>
  <c r="T33" i="281"/>
  <c r="S33" i="281"/>
  <c r="R33" i="281"/>
  <c r="Q33" i="281"/>
  <c r="P33" i="281"/>
  <c r="O33" i="281"/>
  <c r="N33" i="281"/>
  <c r="M33" i="281"/>
  <c r="L33" i="281"/>
  <c r="K33" i="281"/>
  <c r="J33" i="281"/>
  <c r="I33" i="281"/>
  <c r="H33" i="281"/>
  <c r="G33" i="281"/>
  <c r="F33" i="281"/>
  <c r="AL33" i="281" s="1"/>
  <c r="U126" i="145" s="1"/>
  <c r="AL26" i="281"/>
  <c r="U83" i="145" s="1"/>
  <c r="AL25" i="281"/>
  <c r="U80" i="145" s="1"/>
  <c r="AL24" i="281"/>
  <c r="U82" i="145" s="1"/>
  <c r="AL23" i="281"/>
  <c r="U79" i="145" s="1"/>
  <c r="F10" i="281"/>
  <c r="AL26" i="135"/>
  <c r="J83" i="145" s="1"/>
  <c r="L16" i="140"/>
  <c r="O17" i="140"/>
  <c r="F25" i="144"/>
  <c r="AG27" i="288" l="1"/>
  <c r="AG28" i="288" s="1"/>
  <c r="Z27" i="288"/>
  <c r="Z28" i="288" s="1"/>
  <c r="X27" i="288"/>
  <c r="X28" i="288" s="1"/>
  <c r="U27" i="288"/>
  <c r="U28" i="288" s="1"/>
  <c r="R27" i="288"/>
  <c r="R28" i="288" s="1"/>
  <c r="M27" i="288"/>
  <c r="M28" i="288" s="1"/>
  <c r="K27" i="288"/>
  <c r="K28" i="288" s="1"/>
  <c r="H27" i="288"/>
  <c r="H28" i="288" s="1"/>
  <c r="AI27" i="286"/>
  <c r="AI28" i="286" s="1"/>
  <c r="AG27" i="286"/>
  <c r="AG28" i="286" s="1"/>
  <c r="AD27" i="286"/>
  <c r="AD28" i="286" s="1"/>
  <c r="AA27" i="286"/>
  <c r="AA28" i="286" s="1"/>
  <c r="Y27" i="286"/>
  <c r="Y28" i="286" s="1"/>
  <c r="X27" i="285"/>
  <c r="X28" i="285" s="1"/>
  <c r="U27" i="285"/>
  <c r="U28" i="285" s="1"/>
  <c r="R27" i="285"/>
  <c r="R28" i="285" s="1"/>
  <c r="O27" i="285"/>
  <c r="O28" i="285" s="1"/>
  <c r="M27" i="285"/>
  <c r="M28" i="285" s="1"/>
  <c r="I27" i="285"/>
  <c r="I28" i="285" s="1"/>
  <c r="AJ27" i="284"/>
  <c r="AJ28" i="284" s="1"/>
  <c r="AB27" i="284"/>
  <c r="AB28" i="284" s="1"/>
  <c r="T27" i="283"/>
  <c r="T28" i="283" s="1"/>
  <c r="O27" i="283"/>
  <c r="O28" i="283" s="1"/>
  <c r="K27" i="283"/>
  <c r="K28" i="283" s="1"/>
  <c r="AJ27" i="282"/>
  <c r="AJ28" i="282" s="1"/>
  <c r="AJ27" i="288"/>
  <c r="AJ28" i="288" s="1"/>
  <c r="AH27" i="288"/>
  <c r="AH28" i="288" s="1"/>
  <c r="AF27" i="288"/>
  <c r="AF28" i="288" s="1"/>
  <c r="AE27" i="288"/>
  <c r="AE28" i="288" s="1"/>
  <c r="AD27" i="288"/>
  <c r="AD28" i="288" s="1"/>
  <c r="AC27" i="288"/>
  <c r="AC28" i="288" s="1"/>
  <c r="AB27" i="288"/>
  <c r="AB28" i="288" s="1"/>
  <c r="Y27" i="288"/>
  <c r="Y28" i="288" s="1"/>
  <c r="V27" i="288"/>
  <c r="V28" i="288" s="1"/>
  <c r="T27" i="288"/>
  <c r="T28" i="288" s="1"/>
  <c r="Q27" i="288"/>
  <c r="Q28" i="288" s="1"/>
  <c r="O27" i="288"/>
  <c r="O28" i="288" s="1"/>
  <c r="N27" i="288"/>
  <c r="N28" i="288" s="1"/>
  <c r="J27" i="288"/>
  <c r="J28" i="288" s="1"/>
  <c r="G27" i="288"/>
  <c r="G28" i="288" s="1"/>
  <c r="AJ27" i="286"/>
  <c r="AJ28" i="286" s="1"/>
  <c r="AF27" i="286"/>
  <c r="AF28" i="286" s="1"/>
  <c r="AC27" i="286"/>
  <c r="AC28" i="286" s="1"/>
  <c r="Z27" i="286"/>
  <c r="Z28" i="286" s="1"/>
  <c r="Y27" i="285"/>
  <c r="Y28" i="285" s="1"/>
  <c r="V27" i="285"/>
  <c r="V28" i="285" s="1"/>
  <c r="T27" i="285"/>
  <c r="T28" i="285" s="1"/>
  <c r="P27" i="285"/>
  <c r="P28" i="285" s="1"/>
  <c r="K27" i="285"/>
  <c r="K28" i="285" s="1"/>
  <c r="G27" i="285"/>
  <c r="G28" i="285" s="1"/>
  <c r="AH27" i="284"/>
  <c r="AH28" i="284" s="1"/>
  <c r="AE27" i="284"/>
  <c r="AE28" i="284" s="1"/>
  <c r="S27" i="283"/>
  <c r="S28" i="283" s="1"/>
  <c r="M27" i="283"/>
  <c r="M28" i="283" s="1"/>
  <c r="I27" i="283"/>
  <c r="I28" i="283" s="1"/>
  <c r="AI27" i="282"/>
  <c r="AI28" i="282" s="1"/>
  <c r="AI27" i="288"/>
  <c r="AI28" i="288" s="1"/>
  <c r="AA27" i="288"/>
  <c r="AA28" i="288" s="1"/>
  <c r="W27" i="288"/>
  <c r="W28" i="288" s="1"/>
  <c r="S27" i="288"/>
  <c r="S28" i="288" s="1"/>
  <c r="P27" i="288"/>
  <c r="P28" i="288" s="1"/>
  <c r="L27" i="288"/>
  <c r="L28" i="288" s="1"/>
  <c r="I27" i="288"/>
  <c r="I28" i="288" s="1"/>
  <c r="F27" i="288"/>
  <c r="AH27" i="286"/>
  <c r="AH28" i="286" s="1"/>
  <c r="AE27" i="286"/>
  <c r="AE28" i="286" s="1"/>
  <c r="AB27" i="286"/>
  <c r="AB28" i="286" s="1"/>
  <c r="Z27" i="285"/>
  <c r="Z28" i="285" s="1"/>
  <c r="Q27" i="285"/>
  <c r="Q28" i="285" s="1"/>
  <c r="L27" i="285"/>
  <c r="L28" i="285" s="1"/>
  <c r="H27" i="285"/>
  <c r="H28" i="285" s="1"/>
  <c r="AI27" i="284"/>
  <c r="AI28" i="284" s="1"/>
  <c r="AC27" i="284"/>
  <c r="AC28" i="284" s="1"/>
  <c r="R27" i="283"/>
  <c r="R28" i="283" s="1"/>
  <c r="L27" i="283"/>
  <c r="L28" i="283" s="1"/>
  <c r="G27" i="283"/>
  <c r="G28" i="283" s="1"/>
  <c r="AE27" i="282"/>
  <c r="AE28" i="282" s="1"/>
  <c r="X27" i="286"/>
  <c r="X28" i="286" s="1"/>
  <c r="W27" i="286"/>
  <c r="W28" i="286" s="1"/>
  <c r="V27" i="286"/>
  <c r="V28" i="286" s="1"/>
  <c r="U27" i="286"/>
  <c r="U28" i="286" s="1"/>
  <c r="T27" i="286"/>
  <c r="T28" i="286" s="1"/>
  <c r="S27" i="286"/>
  <c r="S28" i="286" s="1"/>
  <c r="R27" i="286"/>
  <c r="R28" i="286" s="1"/>
  <c r="Q27" i="286"/>
  <c r="Q28" i="286" s="1"/>
  <c r="P27" i="286"/>
  <c r="P28" i="286" s="1"/>
  <c r="O27" i="286"/>
  <c r="O28" i="286" s="1"/>
  <c r="N27" i="286"/>
  <c r="N28" i="286" s="1"/>
  <c r="M27" i="286"/>
  <c r="M28" i="286" s="1"/>
  <c r="L27" i="286"/>
  <c r="L28" i="286" s="1"/>
  <c r="K27" i="286"/>
  <c r="K28" i="286" s="1"/>
  <c r="J27" i="286"/>
  <c r="J28" i="286" s="1"/>
  <c r="I27" i="286"/>
  <c r="I28" i="286" s="1"/>
  <c r="H27" i="286"/>
  <c r="H28" i="286" s="1"/>
  <c r="G27" i="286"/>
  <c r="G28" i="286" s="1"/>
  <c r="F27" i="286"/>
  <c r="AJ27" i="285"/>
  <c r="AJ28" i="285" s="1"/>
  <c r="AI27" i="285"/>
  <c r="AI28" i="285" s="1"/>
  <c r="AH27" i="285"/>
  <c r="AH28" i="285" s="1"/>
  <c r="AG27" i="285"/>
  <c r="AG28" i="285" s="1"/>
  <c r="AF27" i="285"/>
  <c r="AF28" i="285" s="1"/>
  <c r="AE27" i="285"/>
  <c r="AE28" i="285" s="1"/>
  <c r="AD27" i="285"/>
  <c r="AD28" i="285" s="1"/>
  <c r="AC27" i="285"/>
  <c r="AC28" i="285" s="1"/>
  <c r="AB27" i="285"/>
  <c r="AB28" i="285" s="1"/>
  <c r="AA27" i="285"/>
  <c r="AA28" i="285" s="1"/>
  <c r="W27" i="285"/>
  <c r="W28" i="285" s="1"/>
  <c r="S27" i="285"/>
  <c r="S28" i="285" s="1"/>
  <c r="N27" i="285"/>
  <c r="N28" i="285" s="1"/>
  <c r="J27" i="285"/>
  <c r="J28" i="285" s="1"/>
  <c r="F27" i="285"/>
  <c r="AG27" i="284"/>
  <c r="AG28" i="284" s="1"/>
  <c r="U27" i="283"/>
  <c r="U28" i="283" s="1"/>
  <c r="N27" i="283"/>
  <c r="N28" i="283" s="1"/>
  <c r="J27" i="283"/>
  <c r="J28" i="283" s="1"/>
  <c r="AH27" i="282"/>
  <c r="AH28" i="282" s="1"/>
  <c r="AA27" i="284"/>
  <c r="AA28" i="284" s="1"/>
  <c r="Z27" i="284"/>
  <c r="Z28" i="284" s="1"/>
  <c r="Y27" i="284"/>
  <c r="Y28" i="284" s="1"/>
  <c r="X27" i="284"/>
  <c r="X28" i="284" s="1"/>
  <c r="W27" i="284"/>
  <c r="W28" i="284" s="1"/>
  <c r="V27" i="284"/>
  <c r="U27" i="284"/>
  <c r="U28" i="284" s="1"/>
  <c r="T27" i="284"/>
  <c r="T28" i="284" s="1"/>
  <c r="S27" i="284"/>
  <c r="S28" i="284" s="1"/>
  <c r="R27" i="284"/>
  <c r="R28" i="284" s="1"/>
  <c r="Q27" i="284"/>
  <c r="Q28" i="284" s="1"/>
  <c r="P27" i="284"/>
  <c r="P28" i="284" s="1"/>
  <c r="O27" i="284"/>
  <c r="O28" i="284" s="1"/>
  <c r="N27" i="284"/>
  <c r="N28" i="284" s="1"/>
  <c r="M27" i="284"/>
  <c r="M28" i="284" s="1"/>
  <c r="L27" i="284"/>
  <c r="L28" i="284" s="1"/>
  <c r="K27" i="284"/>
  <c r="K28" i="284" s="1"/>
  <c r="J27" i="284"/>
  <c r="J28" i="284" s="1"/>
  <c r="I27" i="284"/>
  <c r="I28" i="284" s="1"/>
  <c r="H27" i="284"/>
  <c r="H28" i="284" s="1"/>
  <c r="G27" i="284"/>
  <c r="G28" i="284" s="1"/>
  <c r="F27" i="284"/>
  <c r="F28" i="284" s="1"/>
  <c r="AJ27" i="283"/>
  <c r="AJ28" i="283" s="1"/>
  <c r="AI27" i="283"/>
  <c r="AI28" i="283" s="1"/>
  <c r="AH27" i="283"/>
  <c r="AH28" i="283" s="1"/>
  <c r="AG27" i="283"/>
  <c r="AG28" i="283" s="1"/>
  <c r="AF27" i="283"/>
  <c r="AF28" i="283" s="1"/>
  <c r="AE27" i="283"/>
  <c r="AE28" i="283" s="1"/>
  <c r="AD27" i="283"/>
  <c r="AD28" i="283" s="1"/>
  <c r="AC27" i="283"/>
  <c r="AC28" i="283" s="1"/>
  <c r="AB27" i="283"/>
  <c r="AB28" i="283" s="1"/>
  <c r="AA27" i="283"/>
  <c r="AA28" i="283" s="1"/>
  <c r="Z27" i="283"/>
  <c r="Z28" i="283" s="1"/>
  <c r="Y27" i="283"/>
  <c r="Y28" i="283" s="1"/>
  <c r="X27" i="283"/>
  <c r="X28" i="283" s="1"/>
  <c r="V27" i="283"/>
  <c r="V28" i="283" s="1"/>
  <c r="P27" i="283"/>
  <c r="P28" i="283" s="1"/>
  <c r="H27" i="283"/>
  <c r="H28" i="283" s="1"/>
  <c r="AD27" i="282"/>
  <c r="AD28" i="282" s="1"/>
  <c r="AC27" i="282"/>
  <c r="AC28" i="282" s="1"/>
  <c r="AB27" i="282"/>
  <c r="AB28" i="282" s="1"/>
  <c r="AA27" i="282"/>
  <c r="AA28" i="282" s="1"/>
  <c r="Z27" i="282"/>
  <c r="Z28" i="282" s="1"/>
  <c r="Y27" i="282"/>
  <c r="Y28" i="282" s="1"/>
  <c r="X27" i="282"/>
  <c r="X28" i="282" s="1"/>
  <c r="W27" i="282"/>
  <c r="W28" i="282" s="1"/>
  <c r="V27" i="282"/>
  <c r="V28" i="282" s="1"/>
  <c r="U27" i="282"/>
  <c r="U28" i="282" s="1"/>
  <c r="T27" i="282"/>
  <c r="T28" i="282" s="1"/>
  <c r="S27" i="282"/>
  <c r="S28" i="282" s="1"/>
  <c r="R27" i="282"/>
  <c r="R28" i="282" s="1"/>
  <c r="Q27" i="282"/>
  <c r="Q28" i="282" s="1"/>
  <c r="P27" i="282"/>
  <c r="P28" i="282" s="1"/>
  <c r="O27" i="282"/>
  <c r="O28" i="282" s="1"/>
  <c r="N27" i="282"/>
  <c r="N28" i="282" s="1"/>
  <c r="M27" i="282"/>
  <c r="M28" i="282" s="1"/>
  <c r="L27" i="282"/>
  <c r="L28" i="282" s="1"/>
  <c r="K27" i="282"/>
  <c r="K28" i="282" s="1"/>
  <c r="J27" i="282"/>
  <c r="J28" i="282" s="1"/>
  <c r="I27" i="282"/>
  <c r="I28" i="282" s="1"/>
  <c r="H27" i="282"/>
  <c r="H28" i="282" s="1"/>
  <c r="G27" i="282"/>
  <c r="G28" i="282" s="1"/>
  <c r="F27" i="282"/>
  <c r="Q27" i="283"/>
  <c r="Q28" i="283" s="1"/>
  <c r="W27" i="283"/>
  <c r="W28" i="283" s="1"/>
  <c r="AF27" i="284"/>
  <c r="AF28" i="284" s="1"/>
  <c r="F27" i="283"/>
  <c r="AF27" i="282"/>
  <c r="AF28" i="282" s="1"/>
  <c r="AD27" i="284"/>
  <c r="AD28" i="284" s="1"/>
  <c r="AG27" i="282"/>
  <c r="AG28" i="282" s="1"/>
  <c r="AL33" i="284"/>
  <c r="R126" i="145" s="1"/>
  <c r="AJ27" i="287"/>
  <c r="AJ28" i="287" s="1"/>
  <c r="AI27" i="287"/>
  <c r="AI28" i="287" s="1"/>
  <c r="AH27" i="287"/>
  <c r="AH28" i="287" s="1"/>
  <c r="AG27" i="287"/>
  <c r="AG28" i="287" s="1"/>
  <c r="AF27" i="287"/>
  <c r="AF28" i="287" s="1"/>
  <c r="AE27" i="287"/>
  <c r="AE28" i="287" s="1"/>
  <c r="AD27" i="287"/>
  <c r="AD28" i="287" s="1"/>
  <c r="AC27" i="287"/>
  <c r="AC28" i="287" s="1"/>
  <c r="AB27" i="287"/>
  <c r="AB28" i="287" s="1"/>
  <c r="AA27" i="287"/>
  <c r="AA28" i="287" s="1"/>
  <c r="Z27" i="287"/>
  <c r="Z28" i="287" s="1"/>
  <c r="Y27" i="287"/>
  <c r="Y28" i="287" s="1"/>
  <c r="X27" i="287"/>
  <c r="X28" i="287" s="1"/>
  <c r="W27" i="287"/>
  <c r="W28" i="287" s="1"/>
  <c r="V27" i="287"/>
  <c r="V28" i="287" s="1"/>
  <c r="U27" i="287"/>
  <c r="U28" i="287" s="1"/>
  <c r="T27" i="287"/>
  <c r="T28" i="287" s="1"/>
  <c r="S27" i="287"/>
  <c r="S28" i="287" s="1"/>
  <c r="R27" i="287"/>
  <c r="R28" i="287" s="1"/>
  <c r="Q27" i="287"/>
  <c r="Q28" i="287" s="1"/>
  <c r="P27" i="287"/>
  <c r="P28" i="287" s="1"/>
  <c r="O27" i="287"/>
  <c r="O28" i="287" s="1"/>
  <c r="N27" i="287"/>
  <c r="N28" i="287" s="1"/>
  <c r="M27" i="287"/>
  <c r="M28" i="287" s="1"/>
  <c r="L27" i="287"/>
  <c r="L28" i="287" s="1"/>
  <c r="K27" i="287"/>
  <c r="K28" i="287" s="1"/>
  <c r="J27" i="287"/>
  <c r="J28" i="287" s="1"/>
  <c r="I27" i="287"/>
  <c r="I28" i="287" s="1"/>
  <c r="H27" i="287"/>
  <c r="H28" i="287" s="1"/>
  <c r="G27" i="287"/>
  <c r="G28" i="287" s="1"/>
  <c r="F27" i="287"/>
  <c r="AJ27" i="281"/>
  <c r="AJ28" i="281" s="1"/>
  <c r="AI27" i="281"/>
  <c r="AI28" i="281" s="1"/>
  <c r="AH27" i="281"/>
  <c r="AH28" i="281" s="1"/>
  <c r="AG27" i="281"/>
  <c r="AG28" i="281" s="1"/>
  <c r="AF27" i="281"/>
  <c r="AF28" i="281" s="1"/>
  <c r="AE27" i="281"/>
  <c r="AE28" i="281" s="1"/>
  <c r="AD27" i="281"/>
  <c r="AD28" i="281" s="1"/>
  <c r="AC27" i="281"/>
  <c r="AC28" i="281" s="1"/>
  <c r="AB27" i="281"/>
  <c r="AA27" i="281"/>
  <c r="AA28" i="281" s="1"/>
  <c r="Z27" i="281"/>
  <c r="Z28" i="281" s="1"/>
  <c r="Y27" i="281"/>
  <c r="Y28" i="281" s="1"/>
  <c r="X27" i="281"/>
  <c r="X28" i="281" s="1"/>
  <c r="W27" i="281"/>
  <c r="W28" i="281" s="1"/>
  <c r="V27" i="281"/>
  <c r="V28" i="281" s="1"/>
  <c r="U27" i="281"/>
  <c r="U28" i="281" s="1"/>
  <c r="T27" i="281"/>
  <c r="T28" i="281" s="1"/>
  <c r="S27" i="281"/>
  <c r="S28" i="281" s="1"/>
  <c r="R27" i="281"/>
  <c r="R28" i="281" s="1"/>
  <c r="Q27" i="281"/>
  <c r="Q28" i="281" s="1"/>
  <c r="P27" i="281"/>
  <c r="P28" i="281" s="1"/>
  <c r="O27" i="281"/>
  <c r="O28" i="281" s="1"/>
  <c r="N27" i="281"/>
  <c r="N28" i="281" s="1"/>
  <c r="M27" i="281"/>
  <c r="M28" i="281" s="1"/>
  <c r="L27" i="281"/>
  <c r="L28" i="281" s="1"/>
  <c r="K27" i="281"/>
  <c r="K28" i="281" s="1"/>
  <c r="J27" i="281"/>
  <c r="J28" i="281" s="1"/>
  <c r="I27" i="281"/>
  <c r="I28" i="281" s="1"/>
  <c r="H27" i="281"/>
  <c r="H28" i="281" s="1"/>
  <c r="G27" i="281"/>
  <c r="G28" i="281" s="1"/>
  <c r="F27" i="281"/>
  <c r="F16" i="291"/>
  <c r="G16" i="290"/>
  <c r="G14" i="290" s="1"/>
  <c r="F14" i="290"/>
  <c r="F17" i="290"/>
  <c r="F14" i="289"/>
  <c r="F17" i="289"/>
  <c r="G16" i="289"/>
  <c r="G14" i="289" s="1"/>
  <c r="G16" i="288"/>
  <c r="G14" i="288" s="1"/>
  <c r="F14" i="288"/>
  <c r="F17" i="288"/>
  <c r="F14" i="287"/>
  <c r="G16" i="287"/>
  <c r="G14" i="287" s="1"/>
  <c r="F17" i="287"/>
  <c r="F16" i="286"/>
  <c r="F16" i="285"/>
  <c r="F16" i="284"/>
  <c r="F16" i="283"/>
  <c r="F16" i="282"/>
  <c r="F28" i="281"/>
  <c r="F16" i="281"/>
  <c r="Y27" i="289"/>
  <c r="Y28" i="289" s="1"/>
  <c r="Z27" i="289"/>
  <c r="Z28" i="289" s="1"/>
  <c r="AA27" i="289"/>
  <c r="AA28" i="289" s="1"/>
  <c r="AB27" i="289"/>
  <c r="AB28" i="289" s="1"/>
  <c r="AC27" i="289"/>
  <c r="AC28" i="289" s="1"/>
  <c r="AD27" i="289"/>
  <c r="AD28" i="289" s="1"/>
  <c r="AE27" i="289"/>
  <c r="AE28" i="289" s="1"/>
  <c r="AF27" i="289"/>
  <c r="AF28" i="289" s="1"/>
  <c r="AC27" i="290"/>
  <c r="AC28" i="290" s="1"/>
  <c r="AH27" i="289"/>
  <c r="AH28" i="289" s="1"/>
  <c r="AI27" i="289"/>
  <c r="AI28" i="289" s="1"/>
  <c r="AJ27" i="289"/>
  <c r="AJ28" i="289" s="1"/>
  <c r="G27" i="290"/>
  <c r="G28" i="290" s="1"/>
  <c r="H27" i="290"/>
  <c r="H28" i="290" s="1"/>
  <c r="I27" i="290"/>
  <c r="I28" i="290" s="1"/>
  <c r="J27" i="290"/>
  <c r="J28" i="290" s="1"/>
  <c r="K27" i="290"/>
  <c r="K28" i="290" s="1"/>
  <c r="L27" i="290"/>
  <c r="L28" i="290" s="1"/>
  <c r="W27" i="290"/>
  <c r="W28" i="290" s="1"/>
  <c r="M27" i="290"/>
  <c r="M28" i="290" s="1"/>
  <c r="N27" i="290"/>
  <c r="N28" i="290" s="1"/>
  <c r="O27" i="290"/>
  <c r="O28" i="290" s="1"/>
  <c r="Q27" i="290"/>
  <c r="Q28" i="290" s="1"/>
  <c r="R27" i="290"/>
  <c r="R28" i="290" s="1"/>
  <c r="S27" i="290"/>
  <c r="S28" i="290" s="1"/>
  <c r="T27" i="290"/>
  <c r="T28" i="290" s="1"/>
  <c r="U27" i="290"/>
  <c r="U28" i="290" s="1"/>
  <c r="V27" i="290"/>
  <c r="V28" i="290" s="1"/>
  <c r="X27" i="290"/>
  <c r="X28" i="290" s="1"/>
  <c r="AG27" i="289"/>
  <c r="AG28" i="289" s="1"/>
  <c r="Y27" i="290"/>
  <c r="Y28" i="290" s="1"/>
  <c r="Z27" i="290"/>
  <c r="Z28" i="290" s="1"/>
  <c r="AA27" i="290"/>
  <c r="AA28" i="290" s="1"/>
  <c r="AB27" i="290"/>
  <c r="AB28" i="290" s="1"/>
  <c r="AD27" i="290"/>
  <c r="AD28" i="290" s="1"/>
  <c r="AE27" i="290"/>
  <c r="AE28" i="290" s="1"/>
  <c r="AF27" i="290"/>
  <c r="AF28" i="290" s="1"/>
  <c r="AG27" i="290"/>
  <c r="AG28" i="290" s="1"/>
  <c r="AH27" i="290"/>
  <c r="AH28" i="290" s="1"/>
  <c r="AI27" i="290"/>
  <c r="AI28" i="290" s="1"/>
  <c r="AJ27" i="290"/>
  <c r="AJ28" i="290" s="1"/>
  <c r="F27" i="291"/>
  <c r="AJ27" i="291"/>
  <c r="AJ28" i="291" s="1"/>
  <c r="G27" i="291"/>
  <c r="H27" i="291"/>
  <c r="H28" i="291" s="1"/>
  <c r="I27" i="291"/>
  <c r="I28" i="291" s="1"/>
  <c r="J27" i="291"/>
  <c r="J28" i="291" s="1"/>
  <c r="K27" i="291"/>
  <c r="K28" i="291" s="1"/>
  <c r="L27" i="291"/>
  <c r="L28" i="291" s="1"/>
  <c r="M27" i="291"/>
  <c r="M28" i="291" s="1"/>
  <c r="N27" i="291"/>
  <c r="N28" i="291" s="1"/>
  <c r="O27" i="291"/>
  <c r="O28" i="291" s="1"/>
  <c r="P27" i="291"/>
  <c r="P28" i="291" s="1"/>
  <c r="Q27" i="291"/>
  <c r="Q28" i="291" s="1"/>
  <c r="R27" i="291"/>
  <c r="R28" i="291" s="1"/>
  <c r="S27" i="291"/>
  <c r="S28" i="291" s="1"/>
  <c r="T27" i="291"/>
  <c r="T28" i="291" s="1"/>
  <c r="U27" i="291"/>
  <c r="U28" i="291" s="1"/>
  <c r="V27" i="291"/>
  <c r="V28" i="291" s="1"/>
  <c r="W27" i="291"/>
  <c r="W28" i="291" s="1"/>
  <c r="X27" i="291"/>
  <c r="X28" i="291" s="1"/>
  <c r="Y27" i="291"/>
  <c r="Y28" i="291" s="1"/>
  <c r="Z27" i="291"/>
  <c r="Z28" i="291" s="1"/>
  <c r="AA27" i="291"/>
  <c r="AA28" i="291" s="1"/>
  <c r="AB27" i="291"/>
  <c r="AB28" i="291" s="1"/>
  <c r="AC27" i="291"/>
  <c r="AC28" i="291" s="1"/>
  <c r="AD27" i="291"/>
  <c r="AD28" i="291" s="1"/>
  <c r="AE27" i="291"/>
  <c r="AE28" i="291" s="1"/>
  <c r="AF27" i="291"/>
  <c r="AF28" i="291" s="1"/>
  <c r="AG27" i="291"/>
  <c r="AG28" i="291" s="1"/>
  <c r="AH27" i="291"/>
  <c r="AH28" i="291" s="1"/>
  <c r="L27" i="289"/>
  <c r="L28" i="289" s="1"/>
  <c r="AI27" i="291"/>
  <c r="AI28" i="291" s="1"/>
  <c r="P27" i="290"/>
  <c r="P28" i="290" s="1"/>
  <c r="I27" i="289"/>
  <c r="I28" i="289" s="1"/>
  <c r="J27" i="289"/>
  <c r="J28" i="289" s="1"/>
  <c r="K27" i="289"/>
  <c r="K28" i="289" s="1"/>
  <c r="M27" i="289"/>
  <c r="M28" i="289" s="1"/>
  <c r="N27" i="289"/>
  <c r="N28" i="289" s="1"/>
  <c r="O27" i="289"/>
  <c r="O28" i="289" s="1"/>
  <c r="P27" i="289"/>
  <c r="P28" i="289" s="1"/>
  <c r="Q27" i="289"/>
  <c r="Q28" i="289" s="1"/>
  <c r="R27" i="289"/>
  <c r="R28" i="289" s="1"/>
  <c r="S27" i="289"/>
  <c r="S28" i="289" s="1"/>
  <c r="T27" i="289"/>
  <c r="T28" i="289" s="1"/>
  <c r="U27" i="289"/>
  <c r="U28" i="289" s="1"/>
  <c r="V27" i="289"/>
  <c r="V28" i="289" s="1"/>
  <c r="W27" i="289"/>
  <c r="W28" i="289" s="1"/>
  <c r="F27" i="289"/>
  <c r="F27" i="290"/>
  <c r="G27" i="289"/>
  <c r="G28" i="289" s="1"/>
  <c r="H27" i="289"/>
  <c r="H28" i="289" s="1"/>
  <c r="X27" i="289"/>
  <c r="X28" i="289" s="1"/>
  <c r="G27" i="135"/>
  <c r="G28" i="135" s="1"/>
  <c r="H27" i="135"/>
  <c r="H28" i="135" s="1"/>
  <c r="I27" i="135"/>
  <c r="I28" i="135" s="1"/>
  <c r="J27" i="135"/>
  <c r="K27" i="135"/>
  <c r="K28" i="135" s="1"/>
  <c r="L27" i="135"/>
  <c r="L28" i="135" s="1"/>
  <c r="M27" i="135"/>
  <c r="M28" i="135" s="1"/>
  <c r="N27" i="135"/>
  <c r="O27" i="135"/>
  <c r="O28" i="135" s="1"/>
  <c r="P27" i="135"/>
  <c r="P28" i="135" s="1"/>
  <c r="Q27" i="135"/>
  <c r="Q28" i="135" s="1"/>
  <c r="R27" i="135"/>
  <c r="R28" i="135" s="1"/>
  <c r="S27" i="135"/>
  <c r="S28" i="135" s="1"/>
  <c r="T27" i="135"/>
  <c r="T28" i="135" s="1"/>
  <c r="U27" i="135"/>
  <c r="U28" i="135" s="1"/>
  <c r="V27" i="135"/>
  <c r="V28" i="135" s="1"/>
  <c r="W27" i="135"/>
  <c r="W28" i="135" s="1"/>
  <c r="X27" i="135"/>
  <c r="X28" i="135" s="1"/>
  <c r="Y27" i="135"/>
  <c r="Y28" i="135" s="1"/>
  <c r="Z27" i="135"/>
  <c r="Z28" i="135" s="1"/>
  <c r="AA27" i="135"/>
  <c r="AA28" i="135" s="1"/>
  <c r="AB27" i="135"/>
  <c r="AB28" i="135" s="1"/>
  <c r="AC27" i="135"/>
  <c r="AC28" i="135" s="1"/>
  <c r="AD27" i="135"/>
  <c r="AD28" i="135" s="1"/>
  <c r="AE27" i="135"/>
  <c r="AE28" i="135" s="1"/>
  <c r="AF27" i="135"/>
  <c r="AF28" i="135" s="1"/>
  <c r="AG27" i="135"/>
  <c r="AG28" i="135" s="1"/>
  <c r="AH27" i="135"/>
  <c r="AH28" i="135" s="1"/>
  <c r="AI27" i="135"/>
  <c r="AI28" i="135" s="1"/>
  <c r="AJ27" i="135"/>
  <c r="AJ28" i="135" s="1"/>
  <c r="F27" i="135"/>
  <c r="H11" i="139"/>
  <c r="D46" i="144"/>
  <c r="J33" i="144"/>
  <c r="F28" i="288" l="1"/>
  <c r="AL28" i="288" s="1"/>
  <c r="AL27" i="288"/>
  <c r="N84" i="145" s="1"/>
  <c r="Y158" i="143" a="1"/>
  <c r="Y158" i="143" s="1"/>
  <c r="Y143" i="143" a="1"/>
  <c r="Y143" i="143" s="1"/>
  <c r="Y148" i="143" a="1"/>
  <c r="Y148" i="143" s="1"/>
  <c r="Y139" i="143" a="1"/>
  <c r="Y139" i="143" s="1"/>
  <c r="Y138" i="143" a="1"/>
  <c r="Y138" i="143" s="1"/>
  <c r="Y151" i="143" a="1"/>
  <c r="Y151" i="143" s="1"/>
  <c r="Y150" i="143" a="1"/>
  <c r="Y150" i="143" s="1"/>
  <c r="Y154" i="143" a="1"/>
  <c r="Y154" i="143" s="1"/>
  <c r="Y160" i="143" a="1"/>
  <c r="Y160" i="143" s="1"/>
  <c r="Y144" i="143" a="1"/>
  <c r="Y144" i="143" s="1"/>
  <c r="Y140" i="143" a="1"/>
  <c r="Y140" i="143" s="1"/>
  <c r="Y142" i="143" a="1"/>
  <c r="Y142" i="143" s="1"/>
  <c r="Y159" i="143" a="1"/>
  <c r="Y159" i="143" s="1"/>
  <c r="Y132" i="143" a="1"/>
  <c r="Y132" i="143" s="1"/>
  <c r="Y147" i="143" a="1"/>
  <c r="Y147" i="143" s="1"/>
  <c r="Y136" i="143" a="1"/>
  <c r="Y136" i="143" s="1"/>
  <c r="Y131" i="143" a="1"/>
  <c r="Y131" i="143" s="1"/>
  <c r="Y141" i="143" a="1"/>
  <c r="Y141" i="143" s="1"/>
  <c r="Y153" i="143" a="1"/>
  <c r="Y153" i="143" s="1"/>
  <c r="Y133" i="143" a="1"/>
  <c r="Y133" i="143" s="1"/>
  <c r="Y157" i="143" a="1"/>
  <c r="Y157" i="143" s="1"/>
  <c r="Y145" i="143" a="1"/>
  <c r="Y145" i="143" s="1"/>
  <c r="Y161" i="143" a="1"/>
  <c r="Y161" i="143" s="1"/>
  <c r="Y149" i="143" a="1"/>
  <c r="Y149" i="143" s="1"/>
  <c r="Y135" i="143" a="1"/>
  <c r="Y135" i="143" s="1"/>
  <c r="Y146" i="143" a="1"/>
  <c r="Y146" i="143" s="1"/>
  <c r="Y155" i="143" a="1"/>
  <c r="Y155" i="143" s="1"/>
  <c r="Y134" i="143" a="1"/>
  <c r="Y134" i="143" s="1"/>
  <c r="Y152" i="143" a="1"/>
  <c r="Y152" i="143" s="1"/>
  <c r="Y137" i="143" a="1"/>
  <c r="Y137" i="143" s="1"/>
  <c r="Y156" i="143" a="1"/>
  <c r="Y156" i="143" s="1"/>
  <c r="Y207" i="143" a="1"/>
  <c r="Y207" i="143" s="1"/>
  <c r="Y219" i="143" a="1"/>
  <c r="Y219" i="143" s="1"/>
  <c r="F28" i="286"/>
  <c r="AL28" i="286" s="1"/>
  <c r="AL27" i="286"/>
  <c r="P84" i="145" s="1"/>
  <c r="T12" i="139" s="1"/>
  <c r="T13" i="139" s="1"/>
  <c r="Y222" i="143" a="1"/>
  <c r="Y222" i="143" s="1"/>
  <c r="Y211" i="143" a="1"/>
  <c r="Y211" i="143" s="1"/>
  <c r="Y201" i="143" a="1"/>
  <c r="Y201" i="143" s="1"/>
  <c r="Y210" i="143" a="1"/>
  <c r="Y210" i="143" s="1"/>
  <c r="Y217" i="143" a="1"/>
  <c r="Y217" i="143" s="1"/>
  <c r="Y215" i="143" a="1"/>
  <c r="Y215" i="143" s="1"/>
  <c r="Y213" i="143" a="1"/>
  <c r="Y213" i="143" s="1"/>
  <c r="Y192" i="143" a="1"/>
  <c r="Y192" i="143" s="1"/>
  <c r="Y216" i="143" a="1"/>
  <c r="Y216" i="143" s="1"/>
  <c r="Y220" i="143" a="1"/>
  <c r="Y220" i="143" s="1"/>
  <c r="Y208" i="143" a="1"/>
  <c r="Y208" i="143" s="1"/>
  <c r="Y214" i="143" a="1"/>
  <c r="Y214" i="143" s="1"/>
  <c r="Y212" i="143" a="1"/>
  <c r="Y212" i="143" s="1"/>
  <c r="Y221" i="143" a="1"/>
  <c r="Y221" i="143" s="1"/>
  <c r="Y206" i="143" a="1"/>
  <c r="Y206" i="143" s="1"/>
  <c r="Y205" i="143" a="1"/>
  <c r="Y205" i="143" s="1"/>
  <c r="Y204" i="143" a="1"/>
  <c r="Y204" i="143" s="1"/>
  <c r="Y203" i="143" a="1"/>
  <c r="Y203" i="143" s="1"/>
  <c r="Y202" i="143" a="1"/>
  <c r="Y202" i="143" s="1"/>
  <c r="Y200" i="143" a="1"/>
  <c r="Y200" i="143" s="1"/>
  <c r="Y199" i="143" a="1"/>
  <c r="Y199" i="143" s="1"/>
  <c r="Y198" i="143" a="1"/>
  <c r="Y198" i="143" s="1"/>
  <c r="Y197" i="143" a="1"/>
  <c r="Y197" i="143" s="1"/>
  <c r="Y196" i="143" a="1"/>
  <c r="Y196" i="143" s="1"/>
  <c r="Y195" i="143" a="1"/>
  <c r="Y195" i="143" s="1"/>
  <c r="Y194" i="143" a="1"/>
  <c r="Y194" i="143" s="1"/>
  <c r="Y193" i="143" a="1"/>
  <c r="Y193" i="143" s="1"/>
  <c r="Y209" i="143" a="1"/>
  <c r="Y209" i="143" s="1"/>
  <c r="Y218" i="143" a="1"/>
  <c r="Y218" i="143" s="1"/>
  <c r="AL27" i="285"/>
  <c r="Q84" i="145" s="1"/>
  <c r="V12" i="139" s="1"/>
  <c r="V13" i="139" s="1"/>
  <c r="F28" i="285"/>
  <c r="AL28" i="285" s="1"/>
  <c r="Y230" i="143" a="1"/>
  <c r="Y230" i="143" s="1"/>
  <c r="Y229" i="143" a="1"/>
  <c r="Y229" i="143" s="1"/>
  <c r="Y240" i="143" a="1"/>
  <c r="Y240" i="143" s="1"/>
  <c r="Y231" i="143" a="1"/>
  <c r="Y231" i="143" s="1"/>
  <c r="Y224" i="143" a="1"/>
  <c r="Y224" i="143" s="1"/>
  <c r="Y223" i="143" a="1"/>
  <c r="Y223" i="143" s="1"/>
  <c r="Y234" i="143" a="1"/>
  <c r="Y234" i="143" s="1"/>
  <c r="Y225" i="143" a="1"/>
  <c r="Y225" i="143" s="1"/>
  <c r="Y232" i="143" a="1"/>
  <c r="Y232" i="143" s="1"/>
  <c r="Y241" i="143" a="1"/>
  <c r="Y241" i="143" s="1"/>
  <c r="Y252" i="143" a="1"/>
  <c r="Y252" i="143" s="1"/>
  <c r="Y243" i="143" a="1"/>
  <c r="Y243" i="143" s="1"/>
  <c r="Y233" i="143" a="1"/>
  <c r="Y233" i="143" s="1"/>
  <c r="Y236" i="143" a="1"/>
  <c r="Y236" i="143" s="1"/>
  <c r="Y235" i="143" a="1"/>
  <c r="Y235" i="143" s="1"/>
  <c r="Y228" i="143" a="1"/>
  <c r="Y228" i="143" s="1"/>
  <c r="Y238" i="143" a="1"/>
  <c r="Y238" i="143" s="1"/>
  <c r="Y251" i="143" a="1"/>
  <c r="Y251" i="143" s="1"/>
  <c r="Y242" i="143" a="1"/>
  <c r="Y242" i="143" s="1"/>
  <c r="Y245" i="143" a="1"/>
  <c r="Y245" i="143" s="1"/>
  <c r="Y253" i="143" a="1"/>
  <c r="Y253" i="143" s="1"/>
  <c r="Y226" i="143" a="1"/>
  <c r="Y226" i="143" s="1"/>
  <c r="Y237" i="143" a="1"/>
  <c r="Y237" i="143" s="1"/>
  <c r="Y247" i="143" a="1"/>
  <c r="Y247" i="143" s="1"/>
  <c r="Y250" i="143" a="1"/>
  <c r="Y250" i="143" s="1"/>
  <c r="Y246" i="143" a="1"/>
  <c r="Y246" i="143" s="1"/>
  <c r="Y248" i="143" a="1"/>
  <c r="Y248" i="143" s="1"/>
  <c r="Y227" i="143" a="1"/>
  <c r="Y227" i="143" s="1"/>
  <c r="Y239" i="143" a="1"/>
  <c r="Y239" i="143" s="1"/>
  <c r="Y249" i="143" a="1"/>
  <c r="Y249" i="143" s="1"/>
  <c r="Y244" i="143" a="1"/>
  <c r="Y244" i="143" s="1"/>
  <c r="V28" i="284"/>
  <c r="AL28" i="284" s="1"/>
  <c r="AL27" i="284"/>
  <c r="R84" i="145" s="1"/>
  <c r="X12" i="139" s="1"/>
  <c r="X13" i="139" s="1"/>
  <c r="Y277" i="143" a="1"/>
  <c r="Y277" i="143" s="1"/>
  <c r="Y259" i="143" a="1"/>
  <c r="Y259" i="143" s="1"/>
  <c r="Y266" i="143" a="1"/>
  <c r="Y266" i="143" s="1"/>
  <c r="Y254" i="143" a="1"/>
  <c r="Y254" i="143" s="1"/>
  <c r="Y279" i="143" a="1"/>
  <c r="Y279" i="143" s="1"/>
  <c r="Y281" i="143" a="1"/>
  <c r="Y281" i="143" s="1"/>
  <c r="Y271" i="143" a="1"/>
  <c r="Y271" i="143" s="1"/>
  <c r="Y262" i="143" a="1"/>
  <c r="Y262" i="143" s="1"/>
  <c r="Y280" i="143" a="1"/>
  <c r="Y280" i="143" s="1"/>
  <c r="Y272" i="143" a="1"/>
  <c r="Y272" i="143" s="1"/>
  <c r="Y263" i="143" a="1"/>
  <c r="Y263" i="143" s="1"/>
  <c r="Y276" i="143" a="1"/>
  <c r="Y276" i="143" s="1"/>
  <c r="Y265" i="143" a="1"/>
  <c r="Y265" i="143" s="1"/>
  <c r="Y256" i="143" a="1"/>
  <c r="Y256" i="143" s="1"/>
  <c r="Y275" i="143" a="1"/>
  <c r="Y275" i="143" s="1"/>
  <c r="Y278" i="143" a="1"/>
  <c r="Y278" i="143" s="1"/>
  <c r="Y268" i="143" a="1"/>
  <c r="Y268" i="143" s="1"/>
  <c r="Y258" i="143" a="1"/>
  <c r="Y258" i="143" s="1"/>
  <c r="Y267" i="143" a="1"/>
  <c r="Y267" i="143" s="1"/>
  <c r="Y255" i="143" a="1"/>
  <c r="Y255" i="143" s="1"/>
  <c r="Y274" i="143" a="1"/>
  <c r="Y274" i="143" s="1"/>
  <c r="Y257" i="143" a="1"/>
  <c r="Y257" i="143" s="1"/>
  <c r="Y269" i="143" a="1"/>
  <c r="Y269" i="143" s="1"/>
  <c r="Y261" i="143" a="1"/>
  <c r="Y261" i="143" s="1"/>
  <c r="Y282" i="143" a="1"/>
  <c r="Y282" i="143" s="1"/>
  <c r="Y270" i="143" a="1"/>
  <c r="Y270" i="143" s="1"/>
  <c r="Y260" i="143" a="1"/>
  <c r="Y260" i="143" s="1"/>
  <c r="Y283" i="143" a="1"/>
  <c r="Y283" i="143" s="1"/>
  <c r="Y273" i="143" a="1"/>
  <c r="Y273" i="143" s="1"/>
  <c r="Y264" i="143" a="1"/>
  <c r="Y264" i="143" s="1"/>
  <c r="Y318" i="143" a="1"/>
  <c r="Y318" i="143" s="1"/>
  <c r="Y315" i="143" a="1"/>
  <c r="Y315" i="143" s="1"/>
  <c r="F28" i="282"/>
  <c r="AL28" i="282" s="1"/>
  <c r="Y326" i="143" a="1"/>
  <c r="Y326" i="143" s="1"/>
  <c r="Y317" i="143" a="1"/>
  <c r="Y317" i="143" s="1"/>
  <c r="AL27" i="282"/>
  <c r="T84" i="145" s="1"/>
  <c r="AB12" i="139" s="1"/>
  <c r="AB13" i="139" s="1"/>
  <c r="Y330" i="143" a="1"/>
  <c r="Y330" i="143" s="1"/>
  <c r="Y327" i="143" a="1"/>
  <c r="Y327" i="143" s="1"/>
  <c r="Y338" i="143" a="1"/>
  <c r="Y338" i="143" s="1"/>
  <c r="Y321" i="143" a="1"/>
  <c r="Y321" i="143" s="1"/>
  <c r="Y339" i="143" a="1"/>
  <c r="Y339" i="143" s="1"/>
  <c r="Y329" i="143" a="1"/>
  <c r="Y329" i="143" s="1"/>
  <c r="Y322" i="143" a="1"/>
  <c r="Y322" i="143" s="1"/>
  <c r="Y342" i="143" a="1"/>
  <c r="Y342" i="143" s="1"/>
  <c r="Y328" i="143" a="1"/>
  <c r="Y328" i="143" s="1"/>
  <c r="Y333" i="143" a="1"/>
  <c r="Y333" i="143" s="1"/>
  <c r="Y340" i="143" a="1"/>
  <c r="Y340" i="143" s="1"/>
  <c r="Y332" i="143" a="1"/>
  <c r="Y332" i="143" s="1"/>
  <c r="Y341" i="143" a="1"/>
  <c r="Y341" i="143" s="1"/>
  <c r="Y337" i="143" a="1"/>
  <c r="Y337" i="143" s="1"/>
  <c r="Y316" i="143" a="1"/>
  <c r="Y316" i="143" s="1"/>
  <c r="Y319" i="143" a="1"/>
  <c r="Y319" i="143" s="1"/>
  <c r="Y324" i="143" a="1"/>
  <c r="Y324" i="143" s="1"/>
  <c r="Y325" i="143" a="1"/>
  <c r="Y325" i="143" s="1"/>
  <c r="Y320" i="143" a="1"/>
  <c r="Y320" i="143" s="1"/>
  <c r="Y323" i="143" a="1"/>
  <c r="Y323" i="143" s="1"/>
  <c r="Y334" i="143" a="1"/>
  <c r="Y334" i="143" s="1"/>
  <c r="Y331" i="143" a="1"/>
  <c r="Y331" i="143" s="1"/>
  <c r="Y335" i="143" a="1"/>
  <c r="Y335" i="143" s="1"/>
  <c r="Y336" i="143" a="1"/>
  <c r="Y336" i="143" s="1"/>
  <c r="Y343" i="143" a="1"/>
  <c r="Y343" i="143" s="1"/>
  <c r="Y344" i="143" a="1"/>
  <c r="Y344" i="143" s="1"/>
  <c r="Y310" i="143" a="1"/>
  <c r="Y310" i="143" s="1"/>
  <c r="F28" i="283"/>
  <c r="AL28" i="283" s="1"/>
  <c r="AL27" i="283"/>
  <c r="S84" i="145" s="1"/>
  <c r="Z12" i="139" s="1"/>
  <c r="Z13" i="139" s="1"/>
  <c r="Y300" i="143" a="1"/>
  <c r="Y300" i="143" s="1"/>
  <c r="Y294" i="143" a="1"/>
  <c r="Y294" i="143" s="1"/>
  <c r="Y306" i="143" a="1"/>
  <c r="Y306" i="143" s="1"/>
  <c r="Y296" i="143" a="1"/>
  <c r="Y296" i="143" s="1"/>
  <c r="Y293" i="143" a="1"/>
  <c r="Y293" i="143" s="1"/>
  <c r="Y292" i="143" a="1"/>
  <c r="Y292" i="143" s="1"/>
  <c r="Y289" i="143" a="1"/>
  <c r="Y289" i="143" s="1"/>
  <c r="Y288" i="143" a="1"/>
  <c r="Y288" i="143" s="1"/>
  <c r="Y287" i="143" a="1"/>
  <c r="Y287" i="143" s="1"/>
  <c r="Y286" i="143" a="1"/>
  <c r="Y286" i="143" s="1"/>
  <c r="Y284" i="143" a="1"/>
  <c r="Y284" i="143" s="1"/>
  <c r="Y305" i="143" a="1"/>
  <c r="Y305" i="143" s="1"/>
  <c r="Y301" i="143" a="1"/>
  <c r="Y301" i="143" s="1"/>
  <c r="Y285" i="143" a="1"/>
  <c r="Y285" i="143" s="1"/>
  <c r="Y291" i="143" a="1"/>
  <c r="Y291" i="143" s="1"/>
  <c r="Y313" i="143" a="1"/>
  <c r="Y313" i="143" s="1"/>
  <c r="Y298" i="143" a="1"/>
  <c r="Y298" i="143" s="1"/>
  <c r="Y309" i="143" a="1"/>
  <c r="Y309" i="143" s="1"/>
  <c r="Y299" i="143" a="1"/>
  <c r="Y299" i="143" s="1"/>
  <c r="Y295" i="143" a="1"/>
  <c r="Y295" i="143" s="1"/>
  <c r="Y304" i="143" a="1"/>
  <c r="Y304" i="143" s="1"/>
  <c r="Y314" i="143" a="1"/>
  <c r="Y314" i="143" s="1"/>
  <c r="Y307" i="143" a="1"/>
  <c r="Y307" i="143" s="1"/>
  <c r="Y312" i="143" a="1"/>
  <c r="Y312" i="143" s="1"/>
  <c r="Y308" i="143" a="1"/>
  <c r="Y308" i="143" s="1"/>
  <c r="Y303" i="143" a="1"/>
  <c r="Y303" i="143" s="1"/>
  <c r="Y302" i="143" a="1"/>
  <c r="Y302" i="143" s="1"/>
  <c r="Y311" i="143" a="1"/>
  <c r="Y311" i="143" s="1"/>
  <c r="Y297" i="143" a="1"/>
  <c r="Y297" i="143" s="1"/>
  <c r="Y290" i="143" a="1"/>
  <c r="Y290" i="143" s="1"/>
  <c r="F28" i="287"/>
  <c r="AL28" i="287" s="1"/>
  <c r="Y171" i="143" a="1"/>
  <c r="Y171" i="143" s="1"/>
  <c r="Y170" i="143" a="1"/>
  <c r="Y170" i="143" s="1"/>
  <c r="Y166" i="143" a="1"/>
  <c r="Y166" i="143" s="1"/>
  <c r="Y165" i="143" a="1"/>
  <c r="Y165" i="143" s="1"/>
  <c r="Y162" i="143" a="1"/>
  <c r="Y162" i="143" s="1"/>
  <c r="Y180" i="143" a="1"/>
  <c r="Y180" i="143" s="1"/>
  <c r="Y176" i="143" a="1"/>
  <c r="Y176" i="143" s="1"/>
  <c r="Y174" i="143" a="1"/>
  <c r="Y174" i="143" s="1"/>
  <c r="Y187" i="143" a="1"/>
  <c r="Y187" i="143" s="1"/>
  <c r="Y177" i="143" a="1"/>
  <c r="Y177" i="143" s="1"/>
  <c r="Y189" i="143" a="1"/>
  <c r="Y189" i="143" s="1"/>
  <c r="Y188" i="143" a="1"/>
  <c r="Y188" i="143" s="1"/>
  <c r="AL27" i="287"/>
  <c r="O84" i="145" s="1"/>
  <c r="R12" i="139" s="1"/>
  <c r="R13" i="139" s="1"/>
  <c r="Y169" i="143" a="1"/>
  <c r="Y169" i="143" s="1"/>
  <c r="Y163" i="143" a="1"/>
  <c r="Y163" i="143" s="1"/>
  <c r="Y172" i="143" a="1"/>
  <c r="Y172" i="143" s="1"/>
  <c r="Y173" i="143" a="1"/>
  <c r="Y173" i="143" s="1"/>
  <c r="Y185" i="143" a="1"/>
  <c r="Y185" i="143" s="1"/>
  <c r="Y167" i="143" a="1"/>
  <c r="Y167" i="143" s="1"/>
  <c r="Y164" i="143" a="1"/>
  <c r="Y164" i="143" s="1"/>
  <c r="Y175" i="143" a="1"/>
  <c r="Y175" i="143" s="1"/>
  <c r="Y186" i="143" a="1"/>
  <c r="Y186" i="143" s="1"/>
  <c r="Y184" i="143" a="1"/>
  <c r="Y184" i="143" s="1"/>
  <c r="Y181" i="143" a="1"/>
  <c r="Y181" i="143" s="1"/>
  <c r="Y168" i="143" a="1"/>
  <c r="Y168" i="143" s="1"/>
  <c r="Y179" i="143" a="1"/>
  <c r="Y179" i="143" s="1"/>
  <c r="Y191" i="143" a="1"/>
  <c r="Y191" i="143" s="1"/>
  <c r="Y178" i="143" a="1"/>
  <c r="Y178" i="143" s="1"/>
  <c r="Y190" i="143" a="1"/>
  <c r="Y190" i="143" s="1"/>
  <c r="Y183" i="143" a="1"/>
  <c r="Y183" i="143" s="1"/>
  <c r="Y182" i="143" a="1"/>
  <c r="Y182" i="143" s="1"/>
  <c r="AB28" i="281"/>
  <c r="AL28" i="281" s="1"/>
  <c r="AL27" i="281"/>
  <c r="U84" i="145" s="1"/>
  <c r="AD12" i="139" s="1"/>
  <c r="AD13" i="139" s="1"/>
  <c r="Y346" i="143" a="1"/>
  <c r="Y346" i="143" s="1"/>
  <c r="Y364" i="143" a="1"/>
  <c r="Y364" i="143" s="1"/>
  <c r="Y372" i="143" a="1"/>
  <c r="Y372" i="143" s="1"/>
  <c r="Y368" i="143" a="1"/>
  <c r="Y368" i="143" s="1"/>
  <c r="Y357" i="143" a="1"/>
  <c r="Y357" i="143" s="1"/>
  <c r="Y347" i="143" a="1"/>
  <c r="Y347" i="143" s="1"/>
  <c r="Y355" i="143" a="1"/>
  <c r="Y355" i="143" s="1"/>
  <c r="Y374" i="143" a="1"/>
  <c r="Y374" i="143" s="1"/>
  <c r="Y363" i="143" a="1"/>
  <c r="Y363" i="143" s="1"/>
  <c r="Y367" i="143" a="1"/>
  <c r="Y367" i="143" s="1"/>
  <c r="Y369" i="143" a="1"/>
  <c r="Y369" i="143" s="1"/>
  <c r="Y360" i="143" a="1"/>
  <c r="Y360" i="143" s="1"/>
  <c r="Y351" i="143" a="1"/>
  <c r="Y351" i="143" s="1"/>
  <c r="Y361" i="143" a="1"/>
  <c r="Y361" i="143" s="1"/>
  <c r="Y350" i="143" a="1"/>
  <c r="Y350" i="143" s="1"/>
  <c r="Y373" i="143" a="1"/>
  <c r="Y373" i="143" s="1"/>
  <c r="Y362" i="143" a="1"/>
  <c r="Y362" i="143" s="1"/>
  <c r="Y352" i="143" a="1"/>
  <c r="Y352" i="143" s="1"/>
  <c r="Y371" i="143" a="1"/>
  <c r="Y371" i="143" s="1"/>
  <c r="Y353" i="143" a="1"/>
  <c r="Y353" i="143" s="1"/>
  <c r="Y345" i="143" a="1"/>
  <c r="Y345" i="143" s="1"/>
  <c r="Y366" i="143" a="1"/>
  <c r="Y366" i="143" s="1"/>
  <c r="Y359" i="143" a="1"/>
  <c r="Y359" i="143" s="1"/>
  <c r="Y349" i="143" a="1"/>
  <c r="Y349" i="143" s="1"/>
  <c r="Y348" i="143" a="1"/>
  <c r="Y348" i="143" s="1"/>
  <c r="Y358" i="143" a="1"/>
  <c r="Y358" i="143" s="1"/>
  <c r="Y356" i="143" a="1"/>
  <c r="Y356" i="143" s="1"/>
  <c r="Y375" i="143" a="1"/>
  <c r="Y375" i="143" s="1"/>
  <c r="Y365" i="143" a="1"/>
  <c r="Y365" i="143" s="1"/>
  <c r="Y370" i="143" a="1"/>
  <c r="Y370" i="143" s="1"/>
  <c r="Y354" i="143" a="1"/>
  <c r="Y354" i="143" s="1"/>
  <c r="Y129" i="143" a="1"/>
  <c r="Y129" i="143" s="1"/>
  <c r="Y113" i="143" a="1"/>
  <c r="Y113" i="143" s="1"/>
  <c r="Y114" i="143" a="1"/>
  <c r="Y114" i="143" s="1"/>
  <c r="Y115" i="143" a="1"/>
  <c r="Y115" i="143" s="1"/>
  <c r="Y116" i="143" a="1"/>
  <c r="Y116" i="143" s="1"/>
  <c r="Y117" i="143" a="1"/>
  <c r="Y117" i="143" s="1"/>
  <c r="Y128" i="143" a="1"/>
  <c r="Y128" i="143" s="1"/>
  <c r="Y126" i="143" a="1"/>
  <c r="Y126" i="143" s="1"/>
  <c r="Y108" i="143" a="1"/>
  <c r="Y108" i="143" s="1"/>
  <c r="Y109" i="143" a="1"/>
  <c r="Y109" i="143" s="1"/>
  <c r="Y127" i="143" a="1"/>
  <c r="Y127" i="143" s="1"/>
  <c r="Y130" i="143" a="1"/>
  <c r="Y130" i="143" s="1"/>
  <c r="Y120" i="143" a="1"/>
  <c r="Y120" i="143" s="1"/>
  <c r="Y121" i="143" a="1"/>
  <c r="Y121" i="143" s="1"/>
  <c r="Y110" i="143" a="1"/>
  <c r="Y110" i="143" s="1"/>
  <c r="Y111" i="143" a="1"/>
  <c r="Y111" i="143" s="1"/>
  <c r="Y112" i="143" a="1"/>
  <c r="Y112" i="143" s="1"/>
  <c r="Y123" i="143" a="1"/>
  <c r="Y123" i="143" s="1"/>
  <c r="Y118" i="143" a="1"/>
  <c r="Y118" i="143" s="1"/>
  <c r="Y119" i="143" a="1"/>
  <c r="Y119" i="143" s="1"/>
  <c r="Y122" i="143" a="1"/>
  <c r="Y122" i="143" s="1"/>
  <c r="Y124" i="143" a="1"/>
  <c r="Y124" i="143" s="1"/>
  <c r="Y101" i="143" a="1"/>
  <c r="Y101" i="143" s="1"/>
  <c r="Y102" i="143" a="1"/>
  <c r="Y102" i="143" s="1"/>
  <c r="Y103" i="143" a="1"/>
  <c r="Y103" i="143" s="1"/>
  <c r="Y104" i="143" a="1"/>
  <c r="Y104" i="143" s="1"/>
  <c r="Y105" i="143" a="1"/>
  <c r="Y105" i="143" s="1"/>
  <c r="Y106" i="143" a="1"/>
  <c r="Y106" i="143" s="1"/>
  <c r="Y107" i="143" a="1"/>
  <c r="Y107" i="143" s="1"/>
  <c r="Y125" i="143" a="1"/>
  <c r="Y125" i="143" s="1"/>
  <c r="Y80" i="143" a="1"/>
  <c r="Y80" i="143" s="1"/>
  <c r="Y98" i="143" a="1"/>
  <c r="Y98" i="143" s="1"/>
  <c r="Y99" i="143" a="1"/>
  <c r="Y99" i="143" s="1"/>
  <c r="Y77" i="143" a="1"/>
  <c r="Y77" i="143" s="1"/>
  <c r="Y85" i="143" a="1"/>
  <c r="Y85" i="143" s="1"/>
  <c r="Y74" i="143" a="1"/>
  <c r="Y74" i="143" s="1"/>
  <c r="Y78" i="143" a="1"/>
  <c r="Y78" i="143" s="1"/>
  <c r="Y97" i="143" a="1"/>
  <c r="Y97" i="143" s="1"/>
  <c r="Y91" i="143" a="1"/>
  <c r="Y91" i="143" s="1"/>
  <c r="Y93" i="143" a="1"/>
  <c r="Y93" i="143" s="1"/>
  <c r="Y79" i="143" a="1"/>
  <c r="Y79" i="143" s="1"/>
  <c r="Y70" i="143" a="1"/>
  <c r="Y70" i="143" s="1"/>
  <c r="Y84" i="143" a="1"/>
  <c r="Y84" i="143" s="1"/>
  <c r="Y83" i="143" a="1"/>
  <c r="Y83" i="143" s="1"/>
  <c r="Y71" i="143" a="1"/>
  <c r="Y71" i="143" s="1"/>
  <c r="Y75" i="143" a="1"/>
  <c r="Y75" i="143" s="1"/>
  <c r="Y86" i="143" a="1"/>
  <c r="Y86" i="143" s="1"/>
  <c r="Y73" i="143" a="1"/>
  <c r="Y73" i="143" s="1"/>
  <c r="Y100" i="143" a="1"/>
  <c r="Y100" i="143" s="1"/>
  <c r="Y82" i="143" a="1"/>
  <c r="Y82" i="143" s="1"/>
  <c r="Y81" i="143" a="1"/>
  <c r="Y81" i="143" s="1"/>
  <c r="Y89" i="143" a="1"/>
  <c r="Y89" i="143" s="1"/>
  <c r="Y92" i="143" a="1"/>
  <c r="Y92" i="143" s="1"/>
  <c r="Y76" i="143" a="1"/>
  <c r="Y76" i="143" s="1"/>
  <c r="Y90" i="143" a="1"/>
  <c r="Y90" i="143" s="1"/>
  <c r="Y94" i="143" a="1"/>
  <c r="Y94" i="143" s="1"/>
  <c r="Y95" i="143" a="1"/>
  <c r="Y95" i="143" s="1"/>
  <c r="Y96" i="143" a="1"/>
  <c r="Y96" i="143" s="1"/>
  <c r="Y87" i="143" a="1"/>
  <c r="Y87" i="143" s="1"/>
  <c r="Y88" i="143" a="1"/>
  <c r="Y88" i="143" s="1"/>
  <c r="Y72" i="143" a="1"/>
  <c r="Y72" i="143" s="1"/>
  <c r="G28" i="291"/>
  <c r="Y68" i="143" a="1"/>
  <c r="Y68" i="143" s="1"/>
  <c r="Y65" i="143" a="1"/>
  <c r="Y65" i="143" s="1"/>
  <c r="Y63" i="143" a="1"/>
  <c r="Y63" i="143" s="1"/>
  <c r="Y57" i="143" a="1"/>
  <c r="Y57" i="143" s="1"/>
  <c r="Y53" i="143" a="1"/>
  <c r="Y53" i="143" s="1"/>
  <c r="Y45" i="143" a="1"/>
  <c r="Y45" i="143" s="1"/>
  <c r="Y69" i="143" a="1"/>
  <c r="Y69" i="143" s="1"/>
  <c r="Y64" i="143" a="1"/>
  <c r="Y64" i="143" s="1"/>
  <c r="Y61" i="143" a="1"/>
  <c r="Y61" i="143" s="1"/>
  <c r="Y55" i="143" a="1"/>
  <c r="Y55" i="143" s="1"/>
  <c r="Y52" i="143" a="1"/>
  <c r="Y52" i="143" s="1"/>
  <c r="Y44" i="143" a="1"/>
  <c r="Y44" i="143" s="1"/>
  <c r="Y67" i="143" a="1"/>
  <c r="Y67" i="143" s="1"/>
  <c r="Y59" i="143" a="1"/>
  <c r="Y59" i="143" s="1"/>
  <c r="Y54" i="143" a="1"/>
  <c r="Y54" i="143" s="1"/>
  <c r="Y47" i="143" a="1"/>
  <c r="Y47" i="143" s="1"/>
  <c r="Y66" i="143" a="1"/>
  <c r="Y66" i="143" s="1"/>
  <c r="Y58" i="143" a="1"/>
  <c r="Y58" i="143" s="1"/>
  <c r="Y51" i="143" a="1"/>
  <c r="Y51" i="143" s="1"/>
  <c r="Y42" i="143" a="1"/>
  <c r="Y42" i="143" s="1"/>
  <c r="Y49" i="143" a="1"/>
  <c r="Y49" i="143" s="1"/>
  <c r="Y46" i="143" a="1"/>
  <c r="Y46" i="143" s="1"/>
  <c r="Y60" i="143" a="1"/>
  <c r="Y60" i="143" s="1"/>
  <c r="Y48" i="143" a="1"/>
  <c r="Y48" i="143" s="1"/>
  <c r="Y62" i="143" a="1"/>
  <c r="Y62" i="143" s="1"/>
  <c r="Y50" i="143" a="1"/>
  <c r="Y50" i="143" s="1"/>
  <c r="Y41" i="143" a="1"/>
  <c r="Y41" i="143" s="1"/>
  <c r="Y56" i="143" a="1"/>
  <c r="Y56" i="143" s="1"/>
  <c r="Y43" i="143" a="1"/>
  <c r="Y43" i="143" s="1"/>
  <c r="J28" i="135"/>
  <c r="Y37" i="143" a="1"/>
  <c r="Y37" i="143" s="1"/>
  <c r="Y29" i="143" a="1"/>
  <c r="Y29" i="143" s="1"/>
  <c r="Y40" i="143" a="1"/>
  <c r="Y40" i="143" s="1"/>
  <c r="Y31" i="143" a="1"/>
  <c r="Y31" i="143" s="1"/>
  <c r="Y28" i="143" a="1"/>
  <c r="Y28" i="143" s="1"/>
  <c r="Y24" i="143" a="1"/>
  <c r="Y24" i="143" s="1"/>
  <c r="Y17" i="143" a="1"/>
  <c r="Y17" i="143" s="1"/>
  <c r="Y39" i="143" a="1"/>
  <c r="Y39" i="143" s="1"/>
  <c r="Y30" i="143" a="1"/>
  <c r="Y30" i="143" s="1"/>
  <c r="Y38" i="143" a="1"/>
  <c r="Y38" i="143" s="1"/>
  <c r="Y32" i="143" a="1"/>
  <c r="Y32" i="143" s="1"/>
  <c r="Y13" i="143" a="1"/>
  <c r="Y13" i="143" s="1"/>
  <c r="Y12" i="143" a="1"/>
  <c r="Y12" i="143" s="1"/>
  <c r="Y11" i="143" a="1"/>
  <c r="Y11" i="143" s="1"/>
  <c r="Y10" i="143" a="1"/>
  <c r="Y10" i="143" s="1"/>
  <c r="Y34" i="143" a="1"/>
  <c r="Y34" i="143" s="1"/>
  <c r="Y25" i="143" a="1"/>
  <c r="Y25" i="143" s="1"/>
  <c r="Y19" i="143" a="1"/>
  <c r="Y19" i="143" s="1"/>
  <c r="Y36" i="143" a="1"/>
  <c r="Y36" i="143" s="1"/>
  <c r="Y26" i="143" a="1"/>
  <c r="Y26" i="143" s="1"/>
  <c r="Y21" i="143" a="1"/>
  <c r="Y21" i="143" s="1"/>
  <c r="Y14" i="143" a="1"/>
  <c r="Y14" i="143" s="1"/>
  <c r="Y35" i="143" a="1"/>
  <c r="Y35" i="143" s="1"/>
  <c r="Y27" i="143" a="1"/>
  <c r="Y27" i="143" s="1"/>
  <c r="Y22" i="143" a="1"/>
  <c r="Y22" i="143" s="1"/>
  <c r="Y18" i="143" a="1"/>
  <c r="Y18" i="143" s="1"/>
  <c r="Y33" i="143" a="1"/>
  <c r="Y33" i="143" s="1"/>
  <c r="Y23" i="143" a="1"/>
  <c r="Y23" i="143" s="1"/>
  <c r="Y15" i="143" a="1"/>
  <c r="Y15" i="143" s="1"/>
  <c r="Y16" i="143" a="1"/>
  <c r="Y16" i="143" s="1"/>
  <c r="Y20" i="143" a="1"/>
  <c r="Y20" i="143" s="1"/>
  <c r="F17" i="291"/>
  <c r="G16" i="291"/>
  <c r="G14" i="291" s="1"/>
  <c r="F14" i="291"/>
  <c r="G18" i="290"/>
  <c r="H16" i="290"/>
  <c r="G17" i="290"/>
  <c r="F18" i="290"/>
  <c r="F15" i="290"/>
  <c r="G18" i="289"/>
  <c r="G29" i="289" s="1" a="1"/>
  <c r="G29" i="289" s="1"/>
  <c r="F15" i="289"/>
  <c r="F18" i="289"/>
  <c r="H16" i="289"/>
  <c r="G17" i="289"/>
  <c r="H16" i="288"/>
  <c r="G17" i="288"/>
  <c r="G18" i="288"/>
  <c r="F15" i="288"/>
  <c r="F18" i="288"/>
  <c r="G18" i="287"/>
  <c r="G29" i="287" s="1" a="1"/>
  <c r="G29" i="287" s="1"/>
  <c r="F15" i="287"/>
  <c r="F18" i="287"/>
  <c r="H16" i="287"/>
  <c r="G17" i="287"/>
  <c r="G16" i="286"/>
  <c r="F17" i="286"/>
  <c r="F14" i="286"/>
  <c r="G14" i="286"/>
  <c r="G16" i="285"/>
  <c r="F17" i="285"/>
  <c r="F14" i="285"/>
  <c r="G14" i="285"/>
  <c r="G16" i="284"/>
  <c r="G14" i="284" s="1"/>
  <c r="F17" i="284"/>
  <c r="F14" i="284"/>
  <c r="G16" i="283"/>
  <c r="G14" i="283" s="1"/>
  <c r="F17" i="283"/>
  <c r="F14" i="283"/>
  <c r="G16" i="282"/>
  <c r="G14" i="282" s="1"/>
  <c r="F17" i="282"/>
  <c r="F14" i="282"/>
  <c r="G16" i="281"/>
  <c r="F17" i="281"/>
  <c r="F14" i="281"/>
  <c r="G14" i="281"/>
  <c r="AL27" i="291"/>
  <c r="K84" i="145" s="1"/>
  <c r="J12" i="139" s="1"/>
  <c r="F28" i="291"/>
  <c r="AL27" i="289"/>
  <c r="M84" i="145" s="1"/>
  <c r="N12" i="139" s="1"/>
  <c r="N13" i="139" s="1"/>
  <c r="F28" i="289"/>
  <c r="AL28" i="289" s="1"/>
  <c r="AL27" i="290"/>
  <c r="L84" i="145" s="1"/>
  <c r="L12" i="139" s="1"/>
  <c r="F28" i="290"/>
  <c r="AL28" i="290" s="1"/>
  <c r="P12" i="139"/>
  <c r="P13" i="139" s="1"/>
  <c r="F28" i="135"/>
  <c r="AL27" i="135"/>
  <c r="J84" i="145" s="1"/>
  <c r="N28" i="135"/>
  <c r="R73" i="144"/>
  <c r="R66" i="144"/>
  <c r="R67" i="144"/>
  <c r="R70" i="144"/>
  <c r="R63" i="144"/>
  <c r="R71" i="144"/>
  <c r="R64" i="144"/>
  <c r="R62" i="144"/>
  <c r="R65" i="144"/>
  <c r="R72" i="144"/>
  <c r="R68" i="144"/>
  <c r="R69" i="144"/>
  <c r="X25" i="139"/>
  <c r="L25" i="139"/>
  <c r="J25" i="139"/>
  <c r="AB25" i="139"/>
  <c r="AD25" i="139"/>
  <c r="P25" i="139"/>
  <c r="V25" i="139"/>
  <c r="N25" i="139"/>
  <c r="T25" i="139"/>
  <c r="Z25" i="139"/>
  <c r="J34" i="144"/>
  <c r="AM48" i="135"/>
  <c r="R25" i="139"/>
  <c r="AD24" i="139"/>
  <c r="AB24" i="139"/>
  <c r="Z24" i="139"/>
  <c r="X24" i="139"/>
  <c r="V24" i="139"/>
  <c r="T24" i="139"/>
  <c r="R24" i="139"/>
  <c r="P24" i="139"/>
  <c r="N24" i="139"/>
  <c r="L24" i="139"/>
  <c r="J24" i="139"/>
  <c r="AM43" i="135"/>
  <c r="AL43" i="135"/>
  <c r="J196" i="145" s="1"/>
  <c r="H25" i="139" s="1"/>
  <c r="AL28" i="291" l="1"/>
  <c r="F29" i="290" a="1"/>
  <c r="F29" i="290" s="1"/>
  <c r="F29" i="289" a="1"/>
  <c r="F29" i="289" s="1"/>
  <c r="G18" i="291"/>
  <c r="G29" i="291" s="1" a="1"/>
  <c r="G29" i="291" s="1"/>
  <c r="G17" i="291"/>
  <c r="H16" i="291"/>
  <c r="F18" i="291"/>
  <c r="F29" i="291" s="1" a="1"/>
  <c r="F29" i="291" s="1"/>
  <c r="F15" i="291"/>
  <c r="H14" i="290"/>
  <c r="H17" i="290"/>
  <c r="I16" i="290"/>
  <c r="AL18" i="290"/>
  <c r="L27" i="145" s="1"/>
  <c r="AL19" i="290"/>
  <c r="L28" i="145" s="1"/>
  <c r="AL18" i="289"/>
  <c r="M27" i="145" s="1"/>
  <c r="AL19" i="289"/>
  <c r="M28" i="145" s="1"/>
  <c r="H14" i="289"/>
  <c r="I16" i="289"/>
  <c r="H17" i="289"/>
  <c r="H14" i="288"/>
  <c r="I16" i="288"/>
  <c r="H17" i="288"/>
  <c r="AL18" i="288"/>
  <c r="N27" i="145" s="1"/>
  <c r="AL19" i="288"/>
  <c r="N28" i="145" s="1"/>
  <c r="AL18" i="287"/>
  <c r="O27" i="145" s="1"/>
  <c r="AL19" i="287"/>
  <c r="O28" i="145" s="1"/>
  <c r="H14" i="287"/>
  <c r="I16" i="287"/>
  <c r="H17" i="287"/>
  <c r="H16" i="286"/>
  <c r="G17" i="286"/>
  <c r="F15" i="286"/>
  <c r="F18" i="286"/>
  <c r="G18" i="286"/>
  <c r="G29" i="286" s="1" a="1"/>
  <c r="G29" i="286" s="1"/>
  <c r="H16" i="285"/>
  <c r="G17" i="285"/>
  <c r="F15" i="285"/>
  <c r="F18" i="285"/>
  <c r="G18" i="285"/>
  <c r="G29" i="285" s="1" a="1"/>
  <c r="G29" i="285" s="1"/>
  <c r="H16" i="284"/>
  <c r="G17" i="284"/>
  <c r="F15" i="284"/>
  <c r="F18" i="284"/>
  <c r="F29" i="284" a="1"/>
  <c r="F29" i="284" s="1"/>
  <c r="G18" i="284"/>
  <c r="G29" i="284" s="1" a="1"/>
  <c r="G29" i="284" s="1"/>
  <c r="H16" i="283"/>
  <c r="G17" i="283"/>
  <c r="F15" i="283"/>
  <c r="F18" i="283"/>
  <c r="G18" i="283"/>
  <c r="G29" i="283" s="1" a="1"/>
  <c r="G29" i="283" s="1"/>
  <c r="H16" i="282"/>
  <c r="G17" i="282"/>
  <c r="F15" i="282"/>
  <c r="F18" i="282"/>
  <c r="F29" i="282" s="1" a="1"/>
  <c r="F29" i="282" s="1"/>
  <c r="G18" i="282"/>
  <c r="G29" i="282" a="1"/>
  <c r="G29" i="282" s="1"/>
  <c r="H16" i="281"/>
  <c r="G17" i="281"/>
  <c r="F15" i="281"/>
  <c r="F18" i="281"/>
  <c r="F29" i="281" a="1"/>
  <c r="F29" i="281" s="1"/>
  <c r="G18" i="281"/>
  <c r="G29" i="281" s="1" a="1"/>
  <c r="G29" i="281" s="1"/>
  <c r="G29" i="290" a="1"/>
  <c r="G29" i="290" s="1"/>
  <c r="F29" i="288" a="1"/>
  <c r="F29" i="288" s="1"/>
  <c r="F29" i="287" a="1"/>
  <c r="F29" i="287" s="1"/>
  <c r="V84" i="145"/>
  <c r="AF12" i="139" s="1"/>
  <c r="H12" i="139"/>
  <c r="C440" i="28"/>
  <c r="C439" i="28"/>
  <c r="C179" i="28"/>
  <c r="F29" i="283" l="1" a="1"/>
  <c r="F29" i="283" s="1"/>
  <c r="H14" i="291"/>
  <c r="I16" i="291"/>
  <c r="H17" i="291"/>
  <c r="AL18" i="291"/>
  <c r="K27" i="145" s="1"/>
  <c r="AL19" i="291"/>
  <c r="K28" i="145" s="1"/>
  <c r="G15" i="290"/>
  <c r="H18" i="290"/>
  <c r="I14" i="290"/>
  <c r="I17" i="290"/>
  <c r="J16" i="290"/>
  <c r="AM18" i="290"/>
  <c r="L37" i="145" s="1"/>
  <c r="AM54" i="290"/>
  <c r="AM18" i="289"/>
  <c r="M37" i="145" s="1"/>
  <c r="AM54" i="289"/>
  <c r="G15" i="289"/>
  <c r="H18" i="289"/>
  <c r="I14" i="289"/>
  <c r="I17" i="289"/>
  <c r="J16" i="289"/>
  <c r="G15" i="288"/>
  <c r="H18" i="288"/>
  <c r="I14" i="288"/>
  <c r="I17" i="288"/>
  <c r="J16" i="288"/>
  <c r="AM54" i="288"/>
  <c r="AM18" i="288"/>
  <c r="N37" i="145" s="1"/>
  <c r="AM54" i="287"/>
  <c r="AM18" i="287"/>
  <c r="O37" i="145" s="1"/>
  <c r="G15" i="287"/>
  <c r="H18" i="287"/>
  <c r="I14" i="287"/>
  <c r="H15" i="287" s="1"/>
  <c r="I17" i="287"/>
  <c r="J16" i="287"/>
  <c r="H14" i="286"/>
  <c r="I16" i="286"/>
  <c r="H17" i="286"/>
  <c r="AL19" i="286"/>
  <c r="P28" i="145" s="1"/>
  <c r="AL18" i="286"/>
  <c r="P27" i="145" s="1"/>
  <c r="H14" i="285"/>
  <c r="I16" i="285"/>
  <c r="H17" i="285"/>
  <c r="AL18" i="285"/>
  <c r="Q27" i="145" s="1"/>
  <c r="AL19" i="285"/>
  <c r="Q28" i="145" s="1"/>
  <c r="H14" i="284"/>
  <c r="I16" i="284"/>
  <c r="H17" i="284"/>
  <c r="AL18" i="284"/>
  <c r="R27" i="145" s="1"/>
  <c r="AL19" i="284"/>
  <c r="R28" i="145" s="1"/>
  <c r="H14" i="283"/>
  <c r="I16" i="283"/>
  <c r="H17" i="283"/>
  <c r="AL18" i="283"/>
  <c r="S27" i="145" s="1"/>
  <c r="AL19" i="283"/>
  <c r="S28" i="145" s="1"/>
  <c r="H14" i="282"/>
  <c r="I16" i="282"/>
  <c r="H17" i="282"/>
  <c r="AL18" i="282"/>
  <c r="T27" i="145" s="1"/>
  <c r="AL19" i="282"/>
  <c r="T28" i="145" s="1"/>
  <c r="H14" i="281"/>
  <c r="I16" i="281"/>
  <c r="H17" i="281"/>
  <c r="AL18" i="281"/>
  <c r="U27" i="145" s="1"/>
  <c r="AL19" i="281"/>
  <c r="U28" i="145" s="1"/>
  <c r="F29" i="286" a="1"/>
  <c r="F29" i="286" s="1"/>
  <c r="AD27" i="139"/>
  <c r="J27" i="139"/>
  <c r="L27" i="139"/>
  <c r="L202" i="145"/>
  <c r="N27" i="139"/>
  <c r="M202" i="145"/>
  <c r="P27" i="139"/>
  <c r="R27" i="139"/>
  <c r="T27" i="139"/>
  <c r="V27" i="139"/>
  <c r="X27" i="139"/>
  <c r="Z27" i="139"/>
  <c r="AB27" i="139"/>
  <c r="H51" i="135"/>
  <c r="I51" i="135"/>
  <c r="J51" i="135"/>
  <c r="K51" i="135"/>
  <c r="L51" i="135"/>
  <c r="M51" i="135"/>
  <c r="N51" i="135"/>
  <c r="O51" i="135"/>
  <c r="P51" i="135"/>
  <c r="Q51" i="135"/>
  <c r="R51" i="135"/>
  <c r="S51" i="135"/>
  <c r="T51" i="135"/>
  <c r="U51" i="135"/>
  <c r="V51" i="135"/>
  <c r="W51" i="135"/>
  <c r="X51" i="135"/>
  <c r="Y51" i="135"/>
  <c r="Z51" i="135"/>
  <c r="AA51" i="135"/>
  <c r="AB51" i="135"/>
  <c r="AC51" i="135"/>
  <c r="AD51" i="135"/>
  <c r="AE51" i="135"/>
  <c r="AF51" i="135"/>
  <c r="AG51" i="135"/>
  <c r="AH51" i="135"/>
  <c r="AI51" i="135"/>
  <c r="AJ51" i="135"/>
  <c r="G51" i="135"/>
  <c r="G33" i="139"/>
  <c r="F51" i="135"/>
  <c r="AL48" i="135"/>
  <c r="J201" i="145" s="1"/>
  <c r="H28" i="139" s="1"/>
  <c r="G15" i="291" l="1"/>
  <c r="H18" i="291"/>
  <c r="I14" i="291"/>
  <c r="J16" i="291"/>
  <c r="I17" i="291"/>
  <c r="AM18" i="291"/>
  <c r="K37" i="145" s="1"/>
  <c r="AM54" i="291"/>
  <c r="I18" i="290"/>
  <c r="J14" i="290"/>
  <c r="I15" i="290" s="1"/>
  <c r="J17" i="290"/>
  <c r="K16" i="290"/>
  <c r="I18" i="289"/>
  <c r="J14" i="289"/>
  <c r="I15" i="289" s="1"/>
  <c r="J17" i="289"/>
  <c r="K16" i="289"/>
  <c r="I18" i="288"/>
  <c r="J14" i="288"/>
  <c r="I15" i="288" s="1"/>
  <c r="K16" i="288"/>
  <c r="J17" i="288"/>
  <c r="I18" i="287"/>
  <c r="J14" i="287"/>
  <c r="J17" i="287"/>
  <c r="K16" i="287"/>
  <c r="G15" i="286"/>
  <c r="H18" i="286"/>
  <c r="I14" i="286"/>
  <c r="J16" i="286"/>
  <c r="I17" i="286"/>
  <c r="AM54" i="286"/>
  <c r="AM18" i="286"/>
  <c r="P37" i="145" s="1"/>
  <c r="G15" i="285"/>
  <c r="H18" i="285"/>
  <c r="I14" i="285"/>
  <c r="J16" i="285"/>
  <c r="I17" i="285"/>
  <c r="AM54" i="285"/>
  <c r="AM18" i="285"/>
  <c r="Q37" i="145" s="1"/>
  <c r="G15" i="284"/>
  <c r="H18" i="284"/>
  <c r="I14" i="284"/>
  <c r="J16" i="284"/>
  <c r="I17" i="284"/>
  <c r="AM54" i="284"/>
  <c r="AM18" i="284"/>
  <c r="R37" i="145" s="1"/>
  <c r="G15" i="283"/>
  <c r="H18" i="283"/>
  <c r="I14" i="283"/>
  <c r="J16" i="283"/>
  <c r="I17" i="283"/>
  <c r="AM54" i="283"/>
  <c r="AM18" i="283"/>
  <c r="S37" i="145" s="1"/>
  <c r="G15" i="282"/>
  <c r="H18" i="282"/>
  <c r="I14" i="282"/>
  <c r="J16" i="282"/>
  <c r="I17" i="282"/>
  <c r="AM54" i="282"/>
  <c r="AM18" i="282"/>
  <c r="T37" i="145" s="1"/>
  <c r="G15" i="281"/>
  <c r="H18" i="281"/>
  <c r="I14" i="281"/>
  <c r="H15" i="281" s="1"/>
  <c r="J16" i="281"/>
  <c r="I17" i="281"/>
  <c r="AM18" i="281"/>
  <c r="U37" i="145" s="1"/>
  <c r="AM54" i="281"/>
  <c r="H15" i="290"/>
  <c r="H15" i="289"/>
  <c r="H15" i="288"/>
  <c r="S202" i="145"/>
  <c r="P202" i="145"/>
  <c r="T202" i="145"/>
  <c r="Q202" i="145"/>
  <c r="N202" i="145"/>
  <c r="U202" i="145"/>
  <c r="K202" i="145"/>
  <c r="R202" i="145"/>
  <c r="O202" i="145"/>
  <c r="V201" i="145"/>
  <c r="AF28" i="139" s="1"/>
  <c r="T28" i="139"/>
  <c r="R28" i="139"/>
  <c r="P28" i="139"/>
  <c r="AD28" i="139"/>
  <c r="AB28" i="139"/>
  <c r="Z28" i="139"/>
  <c r="X28" i="139"/>
  <c r="V28" i="139"/>
  <c r="N28" i="139"/>
  <c r="L28" i="139"/>
  <c r="J28" i="139"/>
  <c r="I29" i="290" l="1" a="1"/>
  <c r="I29" i="290" s="1"/>
  <c r="I29" i="288" a="1"/>
  <c r="I29" i="288" s="1"/>
  <c r="I29" i="287" a="1"/>
  <c r="I29" i="287" s="1"/>
  <c r="I18" i="291"/>
  <c r="I29" i="291" a="1"/>
  <c r="I29" i="291" s="1"/>
  <c r="J14" i="291"/>
  <c r="J17" i="291"/>
  <c r="K16" i="291"/>
  <c r="J18" i="290"/>
  <c r="J29" i="290" a="1"/>
  <c r="J29" i="290" s="1"/>
  <c r="K14" i="290"/>
  <c r="L16" i="290"/>
  <c r="K17" i="290"/>
  <c r="J18" i="289"/>
  <c r="J29" i="289" a="1"/>
  <c r="J29" i="289" s="1"/>
  <c r="K14" i="289"/>
  <c r="L16" i="289"/>
  <c r="K17" i="289"/>
  <c r="J18" i="288"/>
  <c r="J29" i="288" a="1"/>
  <c r="J29" i="288" s="1"/>
  <c r="K14" i="288"/>
  <c r="L16" i="288"/>
  <c r="K17" i="288"/>
  <c r="I15" i="287"/>
  <c r="J18" i="287"/>
  <c r="J29" i="287" a="1"/>
  <c r="J29" i="287" s="1"/>
  <c r="K14" i="287"/>
  <c r="L16" i="287"/>
  <c r="K17" i="287"/>
  <c r="I18" i="286"/>
  <c r="J14" i="286"/>
  <c r="K16" i="286"/>
  <c r="J17" i="286"/>
  <c r="I18" i="285"/>
  <c r="I29" i="285" a="1"/>
  <c r="I29" i="285" s="1"/>
  <c r="J14" i="285"/>
  <c r="K16" i="285"/>
  <c r="J17" i="285"/>
  <c r="I18" i="284"/>
  <c r="I29" i="284" s="1" a="1"/>
  <c r="I29" i="284" s="1"/>
  <c r="J14" i="284"/>
  <c r="K16" i="284"/>
  <c r="J17" i="284"/>
  <c r="I18" i="283"/>
  <c r="J14" i="283"/>
  <c r="K16" i="283"/>
  <c r="J17" i="283"/>
  <c r="I18" i="282"/>
  <c r="J14" i="282"/>
  <c r="K16" i="282"/>
  <c r="J17" i="282"/>
  <c r="I18" i="281"/>
  <c r="J14" i="281"/>
  <c r="K16" i="281"/>
  <c r="J17" i="281"/>
  <c r="H15" i="291"/>
  <c r="H15" i="286"/>
  <c r="H15" i="285"/>
  <c r="H15" i="284"/>
  <c r="H15" i="283"/>
  <c r="H15" i="282"/>
  <c r="I15" i="282"/>
  <c r="AD19" i="139"/>
  <c r="AB19" i="139"/>
  <c r="Z19" i="139"/>
  <c r="X19" i="139"/>
  <c r="V19" i="139"/>
  <c r="T19" i="139"/>
  <c r="R19" i="139"/>
  <c r="P19" i="139"/>
  <c r="N19" i="139"/>
  <c r="L19" i="139"/>
  <c r="J19" i="139"/>
  <c r="I29" i="282" l="1" a="1"/>
  <c r="I29" i="282" s="1"/>
  <c r="J18" i="291"/>
  <c r="K14" i="291"/>
  <c r="K17" i="291"/>
  <c r="L16" i="291"/>
  <c r="J15" i="290"/>
  <c r="K18" i="290"/>
  <c r="L14" i="290"/>
  <c r="M16" i="290"/>
  <c r="L17" i="290"/>
  <c r="J15" i="289"/>
  <c r="K18" i="289"/>
  <c r="L14" i="289"/>
  <c r="M16" i="289"/>
  <c r="L17" i="289"/>
  <c r="J15" i="288"/>
  <c r="K18" i="288"/>
  <c r="K29" i="288" s="1" a="1"/>
  <c r="K29" i="288" s="1"/>
  <c r="L14" i="288"/>
  <c r="L17" i="288"/>
  <c r="M16" i="288"/>
  <c r="J15" i="287"/>
  <c r="K18" i="287"/>
  <c r="L14" i="287"/>
  <c r="M16" i="287"/>
  <c r="L17" i="287"/>
  <c r="J18" i="286"/>
  <c r="J29" i="286" s="1" a="1"/>
  <c r="J29" i="286" s="1"/>
  <c r="K14" i="286"/>
  <c r="L16" i="286"/>
  <c r="K17" i="286"/>
  <c r="J18" i="285"/>
  <c r="K14" i="285"/>
  <c r="L16" i="285"/>
  <c r="K17" i="285"/>
  <c r="J18" i="284"/>
  <c r="K14" i="284"/>
  <c r="L16" i="284"/>
  <c r="K17" i="284"/>
  <c r="J18" i="283"/>
  <c r="K14" i="283"/>
  <c r="J15" i="283" s="1"/>
  <c r="L16" i="283"/>
  <c r="K17" i="283"/>
  <c r="J18" i="282"/>
  <c r="K14" i="282"/>
  <c r="L16" i="282"/>
  <c r="K17" i="282"/>
  <c r="I15" i="281"/>
  <c r="J18" i="281"/>
  <c r="K14" i="281"/>
  <c r="L16" i="281"/>
  <c r="K17" i="281"/>
  <c r="I15" i="291"/>
  <c r="I15" i="286"/>
  <c r="I15" i="285"/>
  <c r="I15" i="284"/>
  <c r="I29" i="283" a="1"/>
  <c r="I29" i="283" s="1"/>
  <c r="I15" i="283"/>
  <c r="I29" i="281" a="1"/>
  <c r="I29" i="281" s="1"/>
  <c r="F384" i="28"/>
  <c r="D384" i="28"/>
  <c r="F381" i="28"/>
  <c r="D381" i="28"/>
  <c r="F374" i="28"/>
  <c r="D374" i="28"/>
  <c r="G500" i="28"/>
  <c r="G819" i="28"/>
  <c r="G820" i="28"/>
  <c r="G701" i="28"/>
  <c r="G702" i="28"/>
  <c r="G703" i="28"/>
  <c r="G704" i="28"/>
  <c r="G705" i="28"/>
  <c r="G706" i="28"/>
  <c r="G707" i="28"/>
  <c r="G708" i="28"/>
  <c r="G709" i="28"/>
  <c r="G710" i="28"/>
  <c r="G711" i="28"/>
  <c r="G712" i="28"/>
  <c r="G713" i="28"/>
  <c r="G714" i="28"/>
  <c r="G715" i="28"/>
  <c r="G716" i="28"/>
  <c r="G717" i="28"/>
  <c r="G718" i="28"/>
  <c r="G719" i="28"/>
  <c r="G720" i="28"/>
  <c r="G721" i="28"/>
  <c r="G722" i="28"/>
  <c r="G723" i="28"/>
  <c r="G724" i="28"/>
  <c r="G725" i="28"/>
  <c r="G726" i="28"/>
  <c r="G727" i="28"/>
  <c r="G728" i="28"/>
  <c r="G729" i="28"/>
  <c r="G730" i="28"/>
  <c r="G731" i="28"/>
  <c r="G732" i="28"/>
  <c r="G733" i="28"/>
  <c r="G734" i="28"/>
  <c r="G735" i="28"/>
  <c r="G736" i="28"/>
  <c r="G737" i="28"/>
  <c r="G738" i="28"/>
  <c r="G739" i="28"/>
  <c r="G740" i="28"/>
  <c r="G741" i="28"/>
  <c r="G742" i="28"/>
  <c r="G743" i="28"/>
  <c r="G744" i="28"/>
  <c r="G745" i="28"/>
  <c r="G746" i="28"/>
  <c r="G747" i="28"/>
  <c r="G748" i="28"/>
  <c r="G749" i="28"/>
  <c r="G750" i="28"/>
  <c r="G751" i="28"/>
  <c r="G752" i="28"/>
  <c r="G753" i="28"/>
  <c r="G754" i="28"/>
  <c r="G755" i="28"/>
  <c r="G756" i="28"/>
  <c r="G757" i="28"/>
  <c r="G758" i="28"/>
  <c r="G759" i="28"/>
  <c r="G760" i="28"/>
  <c r="G761" i="28"/>
  <c r="G762" i="28"/>
  <c r="G763" i="28"/>
  <c r="G764" i="28"/>
  <c r="G765" i="28"/>
  <c r="G766" i="28"/>
  <c r="G767" i="28"/>
  <c r="G768" i="28"/>
  <c r="G769" i="28"/>
  <c r="G770" i="28"/>
  <c r="G771" i="28"/>
  <c r="G772" i="28"/>
  <c r="G773" i="28"/>
  <c r="G774" i="28"/>
  <c r="G775" i="28"/>
  <c r="G776" i="28"/>
  <c r="G777" i="28"/>
  <c r="G778" i="28"/>
  <c r="G779" i="28"/>
  <c r="G780" i="28"/>
  <c r="G781" i="28"/>
  <c r="G782" i="28"/>
  <c r="G783" i="28"/>
  <c r="G784" i="28"/>
  <c r="G785" i="28"/>
  <c r="G786" i="28"/>
  <c r="G787" i="28"/>
  <c r="G788" i="28"/>
  <c r="G789" i="28"/>
  <c r="G790" i="28"/>
  <c r="G791" i="28"/>
  <c r="G792" i="28"/>
  <c r="G793" i="28"/>
  <c r="G794" i="28"/>
  <c r="G795" i="28"/>
  <c r="G796" i="28"/>
  <c r="G797" i="28"/>
  <c r="G798" i="28"/>
  <c r="G799" i="28"/>
  <c r="G800" i="28"/>
  <c r="G801" i="28"/>
  <c r="G802" i="28"/>
  <c r="G803" i="28"/>
  <c r="G804" i="28"/>
  <c r="G805" i="28"/>
  <c r="G806" i="28"/>
  <c r="G807" i="28"/>
  <c r="G808" i="28"/>
  <c r="G809" i="28"/>
  <c r="G810" i="28"/>
  <c r="G811" i="28"/>
  <c r="G812" i="28"/>
  <c r="G813" i="28"/>
  <c r="G814" i="28"/>
  <c r="G815" i="28"/>
  <c r="G816" i="28"/>
  <c r="G817" i="28"/>
  <c r="G818" i="28"/>
  <c r="K29" i="290" l="1" a="1"/>
  <c r="K29" i="290" s="1"/>
  <c r="K29" i="289" a="1"/>
  <c r="K29" i="289" s="1"/>
  <c r="J29" i="283" a="1"/>
  <c r="J29" i="283" s="1"/>
  <c r="K18" i="291"/>
  <c r="L14" i="291"/>
  <c r="K15" i="291" s="1"/>
  <c r="L17" i="291"/>
  <c r="M16" i="291"/>
  <c r="K15" i="290"/>
  <c r="L18" i="290"/>
  <c r="M14" i="290"/>
  <c r="M17" i="290"/>
  <c r="N16" i="290"/>
  <c r="K15" i="289"/>
  <c r="L18" i="289"/>
  <c r="L29" i="289" s="1" a="1"/>
  <c r="L29" i="289" s="1"/>
  <c r="M14" i="289"/>
  <c r="M17" i="289"/>
  <c r="N16" i="289"/>
  <c r="K15" i="288"/>
  <c r="L18" i="288"/>
  <c r="L29" i="288" s="1" a="1"/>
  <c r="L29" i="288" s="1"/>
  <c r="M14" i="288"/>
  <c r="N16" i="288"/>
  <c r="M17" i="288"/>
  <c r="K15" i="287"/>
  <c r="L18" i="287"/>
  <c r="L29" i="287" a="1"/>
  <c r="L29" i="287" s="1"/>
  <c r="M14" i="287"/>
  <c r="M17" i="287"/>
  <c r="N16" i="287"/>
  <c r="K18" i="286"/>
  <c r="K29" i="286" a="1"/>
  <c r="K29" i="286" s="1"/>
  <c r="L14" i="286"/>
  <c r="K15" i="286" s="1"/>
  <c r="M16" i="286"/>
  <c r="L17" i="286"/>
  <c r="K18" i="285"/>
  <c r="K29" i="285" s="1" a="1"/>
  <c r="K29" i="285" s="1"/>
  <c r="L14" i="285"/>
  <c r="K15" i="285" s="1"/>
  <c r="M16" i="285"/>
  <c r="L17" i="285"/>
  <c r="K18" i="284"/>
  <c r="L14" i="284"/>
  <c r="M16" i="284"/>
  <c r="L17" i="284"/>
  <c r="K18" i="283"/>
  <c r="L14" i="283"/>
  <c r="M16" i="283"/>
  <c r="L17" i="283"/>
  <c r="J15" i="282"/>
  <c r="K18" i="282"/>
  <c r="L14" i="282"/>
  <c r="M16" i="282"/>
  <c r="L17" i="282"/>
  <c r="J15" i="281"/>
  <c r="K18" i="281"/>
  <c r="L14" i="281"/>
  <c r="M16" i="281"/>
  <c r="L17" i="281"/>
  <c r="J29" i="291" a="1"/>
  <c r="J29" i="291" s="1"/>
  <c r="J15" i="291"/>
  <c r="J15" i="286"/>
  <c r="J29" i="285" a="1"/>
  <c r="J29" i="285" s="1"/>
  <c r="J15" i="285"/>
  <c r="J15" i="284"/>
  <c r="J29" i="282" a="1"/>
  <c r="J29" i="282" s="1"/>
  <c r="I235" i="145"/>
  <c r="W232" i="145"/>
  <c r="I232" i="145"/>
  <c r="I62" i="145"/>
  <c r="I59" i="145"/>
  <c r="W59" i="145"/>
  <c r="U46" i="145"/>
  <c r="T46" i="145"/>
  <c r="S46" i="145"/>
  <c r="R46" i="145"/>
  <c r="Q46" i="145"/>
  <c r="P46" i="145"/>
  <c r="O46" i="145"/>
  <c r="N46" i="145"/>
  <c r="M46" i="145"/>
  <c r="L46" i="145"/>
  <c r="K46" i="145"/>
  <c r="J46" i="145"/>
  <c r="J193" i="145" a="1"/>
  <c r="J193" i="145" s="1"/>
  <c r="J182" i="145"/>
  <c r="H19" i="139" s="1"/>
  <c r="J166" i="145"/>
  <c r="J164" i="145"/>
  <c r="J24" i="145"/>
  <c r="AD39" i="139"/>
  <c r="AB39" i="139"/>
  <c r="Z39" i="139"/>
  <c r="X39" i="139"/>
  <c r="V39" i="139"/>
  <c r="T39" i="139"/>
  <c r="R39" i="139"/>
  <c r="P39" i="139"/>
  <c r="N39" i="139"/>
  <c r="L39" i="139"/>
  <c r="J39" i="139"/>
  <c r="AD20" i="139"/>
  <c r="AB20" i="139"/>
  <c r="Z20" i="139"/>
  <c r="X20" i="139"/>
  <c r="V20" i="139"/>
  <c r="T20" i="139"/>
  <c r="R20" i="139"/>
  <c r="P20" i="139"/>
  <c r="N20" i="139"/>
  <c r="L20" i="139"/>
  <c r="J20" i="139"/>
  <c r="U95" i="145"/>
  <c r="T95" i="145"/>
  <c r="S95" i="145"/>
  <c r="R95" i="145"/>
  <c r="Q95" i="145"/>
  <c r="P95" i="145"/>
  <c r="O95" i="145"/>
  <c r="N95" i="145"/>
  <c r="M95" i="145"/>
  <c r="L95" i="145"/>
  <c r="K95" i="145"/>
  <c r="AM37" i="135"/>
  <c r="AM38" i="135"/>
  <c r="AM39" i="135"/>
  <c r="AM40" i="135"/>
  <c r="AM41" i="135"/>
  <c r="AM42" i="135"/>
  <c r="AM44" i="135"/>
  <c r="AM45" i="135"/>
  <c r="AM46" i="135"/>
  <c r="AM47" i="135"/>
  <c r="AM49" i="135"/>
  <c r="AM50" i="135"/>
  <c r="AM36" i="135"/>
  <c r="C438" i="28"/>
  <c r="G37" i="144"/>
  <c r="K29" i="291" l="1" a="1"/>
  <c r="K29" i="291" s="1"/>
  <c r="L18" i="291"/>
  <c r="M14" i="291"/>
  <c r="N16" i="291"/>
  <c r="M17" i="291"/>
  <c r="L15" i="290"/>
  <c r="M18" i="290"/>
  <c r="M29" i="290" s="1" a="1"/>
  <c r="M29" i="290" s="1"/>
  <c r="N14" i="290"/>
  <c r="O16" i="290"/>
  <c r="N17" i="290"/>
  <c r="L15" i="289"/>
  <c r="M18" i="289"/>
  <c r="N14" i="289"/>
  <c r="O16" i="289"/>
  <c r="N17" i="289"/>
  <c r="L15" i="288"/>
  <c r="M18" i="288"/>
  <c r="M29" i="288" s="1" a="1"/>
  <c r="M29" i="288" s="1"/>
  <c r="N14" i="288"/>
  <c r="N17" i="288"/>
  <c r="O16" i="288"/>
  <c r="L15" i="287"/>
  <c r="M18" i="287"/>
  <c r="N14" i="287"/>
  <c r="N17" i="287"/>
  <c r="O16" i="287"/>
  <c r="L18" i="286"/>
  <c r="L29" i="286" a="1"/>
  <c r="L29" i="286" s="1"/>
  <c r="M14" i="286"/>
  <c r="N16" i="286"/>
  <c r="M17" i="286"/>
  <c r="L18" i="285"/>
  <c r="M14" i="285"/>
  <c r="N16" i="285"/>
  <c r="M17" i="285"/>
  <c r="L18" i="284"/>
  <c r="M14" i="284"/>
  <c r="L15" i="284" s="1"/>
  <c r="N16" i="284"/>
  <c r="M17" i="284"/>
  <c r="K15" i="283"/>
  <c r="L18" i="283"/>
  <c r="M14" i="283"/>
  <c r="N16" i="283"/>
  <c r="M17" i="283"/>
  <c r="K15" i="282"/>
  <c r="L18" i="282"/>
  <c r="M14" i="282"/>
  <c r="N16" i="282"/>
  <c r="M17" i="282"/>
  <c r="K15" i="281"/>
  <c r="L18" i="281"/>
  <c r="M14" i="281"/>
  <c r="N16" i="281"/>
  <c r="M17" i="281"/>
  <c r="K29" i="284" a="1"/>
  <c r="K29" i="284" s="1"/>
  <c r="K15" i="284"/>
  <c r="K29" i="283" a="1"/>
  <c r="K29" i="283" s="1"/>
  <c r="K29" i="282" a="1"/>
  <c r="K29" i="282" s="1"/>
  <c r="K29" i="281" a="1"/>
  <c r="K29" i="281" s="1"/>
  <c r="H22" i="139"/>
  <c r="R96" i="145"/>
  <c r="S96" i="145"/>
  <c r="T96" i="145"/>
  <c r="U96" i="145"/>
  <c r="L96" i="145"/>
  <c r="M96" i="145"/>
  <c r="N96" i="145"/>
  <c r="K96" i="145"/>
  <c r="O96" i="145"/>
  <c r="P96" i="145"/>
  <c r="Q96" i="145"/>
  <c r="Q81" i="145"/>
  <c r="R81" i="145"/>
  <c r="S81" i="145"/>
  <c r="T81" i="145"/>
  <c r="L81" i="145"/>
  <c r="M81" i="145"/>
  <c r="U81" i="145"/>
  <c r="N81" i="145"/>
  <c r="O81" i="145"/>
  <c r="P81" i="145"/>
  <c r="K81" i="145"/>
  <c r="AM51" i="135"/>
  <c r="V129" i="145"/>
  <c r="I128" i="145"/>
  <c r="V139" i="145"/>
  <c r="V140" i="145"/>
  <c r="G340" i="28"/>
  <c r="G338" i="28"/>
  <c r="G339" i="28"/>
  <c r="G341" i="28"/>
  <c r="G342" i="28"/>
  <c r="G343" i="28"/>
  <c r="G344" i="28"/>
  <c r="G345" i="28"/>
  <c r="G346" i="28"/>
  <c r="G347" i="28"/>
  <c r="G348" i="28"/>
  <c r="AD38" i="139"/>
  <c r="AB38" i="139"/>
  <c r="Z38" i="139"/>
  <c r="X38" i="139"/>
  <c r="X33" i="139"/>
  <c r="V38" i="139"/>
  <c r="V33" i="139"/>
  <c r="T38" i="139"/>
  <c r="T33" i="139"/>
  <c r="R38" i="139"/>
  <c r="R33" i="139"/>
  <c r="P38" i="139"/>
  <c r="P33" i="139"/>
  <c r="N38" i="139"/>
  <c r="N33" i="139"/>
  <c r="L38" i="139"/>
  <c r="L33" i="139"/>
  <c r="J38" i="139"/>
  <c r="J33" i="139"/>
  <c r="H38" i="139"/>
  <c r="H33" i="139"/>
  <c r="I162" i="145"/>
  <c r="I180" i="145"/>
  <c r="V180" i="145" s="1"/>
  <c r="H44" i="139" s="1"/>
  <c r="AI33" i="135"/>
  <c r="AJ33" i="135"/>
  <c r="AH33" i="135"/>
  <c r="G33" i="135"/>
  <c r="H33" i="135"/>
  <c r="I33" i="135"/>
  <c r="J33" i="135"/>
  <c r="K33" i="135"/>
  <c r="L33" i="135"/>
  <c r="M33" i="135"/>
  <c r="N33" i="135"/>
  <c r="O33" i="135"/>
  <c r="P33" i="135"/>
  <c r="Q33" i="135"/>
  <c r="R33" i="135"/>
  <c r="S33" i="135"/>
  <c r="T33" i="135"/>
  <c r="U33" i="135"/>
  <c r="V33" i="135"/>
  <c r="W33" i="135"/>
  <c r="X33" i="135"/>
  <c r="Y33" i="135"/>
  <c r="Z33" i="135"/>
  <c r="AA33" i="135"/>
  <c r="AB33" i="135"/>
  <c r="AC33" i="135"/>
  <c r="AD33" i="135"/>
  <c r="AE33" i="135"/>
  <c r="AF33" i="135"/>
  <c r="AG33" i="135"/>
  <c r="F33" i="135"/>
  <c r="AL54" i="135"/>
  <c r="J221" i="145" s="1"/>
  <c r="AL53" i="135"/>
  <c r="J220" i="145" s="1"/>
  <c r="G35" i="144"/>
  <c r="G36" i="144"/>
  <c r="G34" i="144"/>
  <c r="M29" i="289" l="1" a="1"/>
  <c r="M29" i="289" s="1"/>
  <c r="M29" i="287" a="1"/>
  <c r="M29" i="287" s="1"/>
  <c r="L15" i="291"/>
  <c r="M18" i="291"/>
  <c r="N14" i="291"/>
  <c r="N17" i="291"/>
  <c r="O16" i="291"/>
  <c r="M15" i="290"/>
  <c r="N18" i="290"/>
  <c r="P16" i="290"/>
  <c r="O17" i="290"/>
  <c r="O14" i="290"/>
  <c r="M15" i="289"/>
  <c r="N18" i="289"/>
  <c r="N29" i="289" s="1" a="1"/>
  <c r="N29" i="289" s="1"/>
  <c r="O14" i="289"/>
  <c r="O17" i="289"/>
  <c r="P16" i="289"/>
  <c r="M15" i="288"/>
  <c r="N18" i="288"/>
  <c r="O14" i="288"/>
  <c r="O17" i="288"/>
  <c r="P16" i="288"/>
  <c r="M15" i="287"/>
  <c r="N18" i="287"/>
  <c r="N29" i="287" a="1"/>
  <c r="N29" i="287" s="1"/>
  <c r="O14" i="287"/>
  <c r="P16" i="287"/>
  <c r="O17" i="287"/>
  <c r="L15" i="286"/>
  <c r="M18" i="286"/>
  <c r="M29" i="286" a="1"/>
  <c r="M29" i="286" s="1"/>
  <c r="N14" i="286"/>
  <c r="O16" i="286"/>
  <c r="N17" i="286"/>
  <c r="L15" i="285"/>
  <c r="M18" i="285"/>
  <c r="N14" i="285"/>
  <c r="O16" i="285"/>
  <c r="N17" i="285"/>
  <c r="M18" i="284"/>
  <c r="N14" i="284"/>
  <c r="O16" i="284"/>
  <c r="N17" i="284"/>
  <c r="L15" i="283"/>
  <c r="M18" i="283"/>
  <c r="N14" i="283"/>
  <c r="O16" i="283"/>
  <c r="N17" i="283"/>
  <c r="L15" i="282"/>
  <c r="M18" i="282"/>
  <c r="N14" i="282"/>
  <c r="O16" i="282"/>
  <c r="N17" i="282"/>
  <c r="L15" i="281"/>
  <c r="M18" i="281"/>
  <c r="M29" i="281" s="1" a="1"/>
  <c r="M29" i="281" s="1"/>
  <c r="N14" i="281"/>
  <c r="O16" i="281"/>
  <c r="N17" i="281"/>
  <c r="L29" i="285" a="1"/>
  <c r="L29" i="285" s="1"/>
  <c r="L29" i="284" a="1"/>
  <c r="L29" i="284" s="1"/>
  <c r="L29" i="283" a="1"/>
  <c r="L29" i="283" s="1"/>
  <c r="L29" i="281" a="1"/>
  <c r="L29" i="281" s="1"/>
  <c r="AL33" i="135"/>
  <c r="J126" i="145" s="1"/>
  <c r="V220" i="145"/>
  <c r="V182" i="145"/>
  <c r="AQ83" i="144"/>
  <c r="M29" i="291" l="1" a="1"/>
  <c r="M29" i="291" s="1"/>
  <c r="N29" i="290" a="1"/>
  <c r="N29" i="290" s="1"/>
  <c r="M15" i="291"/>
  <c r="N18" i="291"/>
  <c r="O14" i="291"/>
  <c r="O17" i="291"/>
  <c r="P16" i="291"/>
  <c r="P14" i="290"/>
  <c r="Q16" i="290"/>
  <c r="P17" i="290"/>
  <c r="N15" i="290"/>
  <c r="O18" i="290"/>
  <c r="N15" i="289"/>
  <c r="O18" i="289"/>
  <c r="P14" i="289"/>
  <c r="P17" i="289"/>
  <c r="Q16" i="289"/>
  <c r="N15" i="288"/>
  <c r="O18" i="288"/>
  <c r="P14" i="288"/>
  <c r="Q16" i="288"/>
  <c r="P17" i="288"/>
  <c r="N15" i="287"/>
  <c r="O18" i="287"/>
  <c r="P14" i="287"/>
  <c r="Q16" i="287"/>
  <c r="P17" i="287"/>
  <c r="M15" i="286"/>
  <c r="N18" i="286"/>
  <c r="O14" i="286"/>
  <c r="P16" i="286"/>
  <c r="O17" i="286"/>
  <c r="M15" i="285"/>
  <c r="N18" i="285"/>
  <c r="O14" i="285"/>
  <c r="P16" i="285"/>
  <c r="O17" i="285"/>
  <c r="M15" i="284"/>
  <c r="N18" i="284"/>
  <c r="O14" i="284"/>
  <c r="P16" i="284"/>
  <c r="O17" i="284"/>
  <c r="M15" i="283"/>
  <c r="N18" i="283"/>
  <c r="O14" i="283"/>
  <c r="P16" i="283"/>
  <c r="O17" i="283"/>
  <c r="M15" i="282"/>
  <c r="N18" i="282"/>
  <c r="O14" i="282"/>
  <c r="P16" i="282"/>
  <c r="O17" i="282"/>
  <c r="M15" i="281"/>
  <c r="N18" i="281"/>
  <c r="O14" i="281"/>
  <c r="P16" i="281"/>
  <c r="O17" i="281"/>
  <c r="M29" i="284" a="1"/>
  <c r="M29" i="284" s="1"/>
  <c r="M29" i="283" a="1"/>
  <c r="M29" i="283" s="1"/>
  <c r="M29" i="282" a="1"/>
  <c r="M29" i="282" s="1"/>
  <c r="AF19" i="139"/>
  <c r="V126" i="145"/>
  <c r="AF44" i="139"/>
  <c r="N29" i="285" l="1" a="1"/>
  <c r="N29" i="285" s="1"/>
  <c r="N29" i="283" a="1"/>
  <c r="N29" i="283" s="1"/>
  <c r="N15" i="291"/>
  <c r="O18" i="291"/>
  <c r="P14" i="291"/>
  <c r="Q16" i="291"/>
  <c r="P17" i="291"/>
  <c r="O15" i="290"/>
  <c r="P18" i="290"/>
  <c r="P29" i="290" a="1"/>
  <c r="P29" i="290" s="1"/>
  <c r="R16" i="290"/>
  <c r="Q14" i="290"/>
  <c r="Q17" i="290"/>
  <c r="O15" i="289"/>
  <c r="P18" i="289"/>
  <c r="Q14" i="289"/>
  <c r="R16" i="289"/>
  <c r="Q17" i="289"/>
  <c r="O15" i="288"/>
  <c r="P18" i="288"/>
  <c r="P29" i="288" s="1" a="1"/>
  <c r="P29" i="288" s="1"/>
  <c r="Q14" i="288"/>
  <c r="Q17" i="288"/>
  <c r="R16" i="288"/>
  <c r="O15" i="287"/>
  <c r="P18" i="287"/>
  <c r="Q14" i="287"/>
  <c r="Q17" i="287"/>
  <c r="R16" i="287"/>
  <c r="N15" i="286"/>
  <c r="O18" i="286"/>
  <c r="P14" i="286"/>
  <c r="Q16" i="286"/>
  <c r="P17" i="286"/>
  <c r="N15" i="285"/>
  <c r="O18" i="285"/>
  <c r="P14" i="285"/>
  <c r="Q16" i="285"/>
  <c r="P17" i="285"/>
  <c r="N15" i="284"/>
  <c r="O18" i="284"/>
  <c r="P14" i="284"/>
  <c r="Q16" i="284"/>
  <c r="P17" i="284"/>
  <c r="N15" i="283"/>
  <c r="O18" i="283"/>
  <c r="P14" i="283"/>
  <c r="Q16" i="283"/>
  <c r="P17" i="283"/>
  <c r="N15" i="282"/>
  <c r="O18" i="282"/>
  <c r="P14" i="282"/>
  <c r="Q16" i="282"/>
  <c r="P17" i="282"/>
  <c r="N15" i="281"/>
  <c r="O18" i="281"/>
  <c r="P14" i="281"/>
  <c r="Q16" i="281"/>
  <c r="P17" i="281"/>
  <c r="N29" i="291" a="1"/>
  <c r="N29" i="291" s="1"/>
  <c r="N29" i="286" a="1"/>
  <c r="N29" i="286" s="1"/>
  <c r="N29" i="284" a="1"/>
  <c r="N29" i="284" s="1"/>
  <c r="N29" i="282" a="1"/>
  <c r="N29" i="282" s="1"/>
  <c r="N29" i="281" a="1"/>
  <c r="N29" i="281" s="1"/>
  <c r="V162" i="145"/>
  <c r="V167" i="145"/>
  <c r="V164" i="145"/>
  <c r="P29" i="287" l="1" a="1"/>
  <c r="P29" i="287" s="1"/>
  <c r="O15" i="291"/>
  <c r="P18" i="291"/>
  <c r="Q14" i="291"/>
  <c r="Q17" i="291"/>
  <c r="R16" i="291"/>
  <c r="R17" i="290"/>
  <c r="R14" i="290"/>
  <c r="S16" i="290"/>
  <c r="P15" i="290"/>
  <c r="Q18" i="290"/>
  <c r="P15" i="289"/>
  <c r="Q18" i="289"/>
  <c r="Q29" i="289" a="1"/>
  <c r="Q29" i="289" s="1"/>
  <c r="R14" i="289"/>
  <c r="R17" i="289"/>
  <c r="S16" i="289"/>
  <c r="P15" i="288"/>
  <c r="Q18" i="288"/>
  <c r="R14" i="288"/>
  <c r="S16" i="288"/>
  <c r="R17" i="288"/>
  <c r="P15" i="287"/>
  <c r="Q18" i="287"/>
  <c r="R14" i="287"/>
  <c r="S16" i="287"/>
  <c r="R17" i="287"/>
  <c r="O15" i="286"/>
  <c r="P18" i="286"/>
  <c r="Q14" i="286"/>
  <c r="R16" i="286"/>
  <c r="Q17" i="286"/>
  <c r="O15" i="285"/>
  <c r="P18" i="285"/>
  <c r="P29" i="285" a="1"/>
  <c r="P29" i="285" s="1"/>
  <c r="Q14" i="285"/>
  <c r="R16" i="285"/>
  <c r="Q17" i="285"/>
  <c r="O15" i="284"/>
  <c r="P18" i="284"/>
  <c r="Q14" i="284"/>
  <c r="R16" i="284"/>
  <c r="Q17" i="284"/>
  <c r="O15" i="283"/>
  <c r="P18" i="283"/>
  <c r="Q14" i="283"/>
  <c r="R16" i="283"/>
  <c r="Q17" i="283"/>
  <c r="O15" i="282"/>
  <c r="P18" i="282"/>
  <c r="Q14" i="282"/>
  <c r="R16" i="282"/>
  <c r="Q17" i="282"/>
  <c r="O15" i="281"/>
  <c r="P18" i="281"/>
  <c r="Q14" i="281"/>
  <c r="R16" i="281"/>
  <c r="Q17" i="281"/>
  <c r="V166" i="145"/>
  <c r="AF38" i="139" s="1"/>
  <c r="P29" i="291" l="1" a="1"/>
  <c r="P29" i="291" s="1"/>
  <c r="Q29" i="288" a="1"/>
  <c r="Q29" i="288" s="1"/>
  <c r="Q29" i="287" a="1"/>
  <c r="Q29" i="287" s="1"/>
  <c r="P29" i="283" a="1"/>
  <c r="P29" i="283" s="1"/>
  <c r="P29" i="282" a="1"/>
  <c r="P29" i="282" s="1"/>
  <c r="P15" i="291"/>
  <c r="Q18" i="291"/>
  <c r="R14" i="291"/>
  <c r="R17" i="291"/>
  <c r="S16" i="291"/>
  <c r="Q15" i="290"/>
  <c r="R18" i="290"/>
  <c r="R29" i="290" a="1"/>
  <c r="R29" i="290" s="1"/>
  <c r="S14" i="290"/>
  <c r="S17" i="290"/>
  <c r="T16" i="290"/>
  <c r="Q15" i="289"/>
  <c r="R18" i="289"/>
  <c r="R29" i="289" s="1" a="1"/>
  <c r="R29" i="289" s="1"/>
  <c r="S14" i="289"/>
  <c r="S17" i="289"/>
  <c r="T16" i="289"/>
  <c r="Q15" i="288"/>
  <c r="R18" i="288"/>
  <c r="R29" i="288" a="1"/>
  <c r="R29" i="288" s="1"/>
  <c r="S14" i="288"/>
  <c r="T16" i="288"/>
  <c r="S17" i="288"/>
  <c r="Q15" i="287"/>
  <c r="R18" i="287"/>
  <c r="S14" i="287"/>
  <c r="S17" i="287"/>
  <c r="T16" i="287"/>
  <c r="P15" i="286"/>
  <c r="Q18" i="286"/>
  <c r="Q29" i="286" a="1"/>
  <c r="Q29" i="286" s="1"/>
  <c r="R14" i="286"/>
  <c r="S16" i="286"/>
  <c r="R17" i="286"/>
  <c r="P15" i="285"/>
  <c r="Q18" i="285"/>
  <c r="Q29" i="285" a="1"/>
  <c r="Q29" i="285" s="1"/>
  <c r="R14" i="285"/>
  <c r="S16" i="285"/>
  <c r="R17" i="285"/>
  <c r="P15" i="284"/>
  <c r="Q18" i="284"/>
  <c r="R14" i="284"/>
  <c r="S16" i="284"/>
  <c r="R17" i="284"/>
  <c r="P15" i="283"/>
  <c r="Q18" i="283"/>
  <c r="R14" i="283"/>
  <c r="S16" i="283"/>
  <c r="R17" i="283"/>
  <c r="P15" i="282"/>
  <c r="Q18" i="282"/>
  <c r="R14" i="282"/>
  <c r="S16" i="282"/>
  <c r="R17" i="282"/>
  <c r="P15" i="281"/>
  <c r="Q18" i="281"/>
  <c r="R14" i="281"/>
  <c r="S16" i="281"/>
  <c r="R17" i="281"/>
  <c r="Q29" i="290" a="1"/>
  <c r="Q29" i="290" s="1"/>
  <c r="P29" i="284" a="1"/>
  <c r="P29" i="284" s="1"/>
  <c r="P29" i="281" a="1"/>
  <c r="P29" i="281" s="1"/>
  <c r="Q29" i="291" l="1" a="1"/>
  <c r="Q29" i="291" s="1"/>
  <c r="Q15" i="291"/>
  <c r="R18" i="291"/>
  <c r="R29" i="291" a="1"/>
  <c r="R29" i="291" s="1"/>
  <c r="S14" i="291"/>
  <c r="S17" i="291"/>
  <c r="T16" i="291"/>
  <c r="R15" i="290"/>
  <c r="S18" i="290"/>
  <c r="T17" i="290"/>
  <c r="T14" i="290"/>
  <c r="U16" i="290"/>
  <c r="R15" i="289"/>
  <c r="S18" i="289"/>
  <c r="S29" i="289" a="1"/>
  <c r="S29" i="289" s="1"/>
  <c r="T14" i="289"/>
  <c r="U16" i="289"/>
  <c r="T17" i="289"/>
  <c r="R15" i="288"/>
  <c r="S18" i="288"/>
  <c r="T14" i="288"/>
  <c r="T17" i="288"/>
  <c r="U16" i="288"/>
  <c r="R15" i="287"/>
  <c r="S18" i="287"/>
  <c r="T14" i="287"/>
  <c r="U16" i="287"/>
  <c r="T17" i="287"/>
  <c r="Q15" i="286"/>
  <c r="R18" i="286"/>
  <c r="S14" i="286"/>
  <c r="S17" i="286"/>
  <c r="T16" i="286"/>
  <c r="Q15" i="285"/>
  <c r="R18" i="285"/>
  <c r="S14" i="285"/>
  <c r="T16" i="285"/>
  <c r="S17" i="285"/>
  <c r="Q15" i="284"/>
  <c r="R18" i="284"/>
  <c r="S14" i="284"/>
  <c r="T16" i="284"/>
  <c r="S17" i="284"/>
  <c r="Q15" i="283"/>
  <c r="R18" i="283"/>
  <c r="S14" i="283"/>
  <c r="T16" i="283"/>
  <c r="S17" i="283"/>
  <c r="Q15" i="282"/>
  <c r="R18" i="282"/>
  <c r="S14" i="282"/>
  <c r="T16" i="282"/>
  <c r="S17" i="282"/>
  <c r="Q15" i="281"/>
  <c r="R18" i="281"/>
  <c r="S14" i="281"/>
  <c r="T16" i="281"/>
  <c r="S17" i="281"/>
  <c r="Q29" i="283" a="1"/>
  <c r="Q29" i="283" s="1"/>
  <c r="Q29" i="282" a="1"/>
  <c r="Q29" i="282" s="1"/>
  <c r="V40" i="139"/>
  <c r="V30" i="139"/>
  <c r="V29" i="139"/>
  <c r="V26" i="139"/>
  <c r="V23" i="139"/>
  <c r="V21" i="139"/>
  <c r="V37" i="139"/>
  <c r="V9" i="139"/>
  <c r="T40" i="139"/>
  <c r="T30" i="139"/>
  <c r="T29" i="139"/>
  <c r="T26" i="139"/>
  <c r="T23" i="139"/>
  <c r="T21" i="139"/>
  <c r="T37" i="139"/>
  <c r="T9" i="139"/>
  <c r="R40" i="139"/>
  <c r="R30" i="139"/>
  <c r="R29" i="139"/>
  <c r="R26" i="139"/>
  <c r="R23" i="139"/>
  <c r="R21" i="139"/>
  <c r="R37" i="139"/>
  <c r="R9" i="139"/>
  <c r="P40" i="139"/>
  <c r="P30" i="139"/>
  <c r="P29" i="139"/>
  <c r="P26" i="139"/>
  <c r="P23" i="139"/>
  <c r="P21" i="139"/>
  <c r="P37" i="139"/>
  <c r="P9" i="139"/>
  <c r="AD40" i="139"/>
  <c r="AD30" i="139"/>
  <c r="AD29" i="139"/>
  <c r="AD26" i="139"/>
  <c r="AD23" i="139"/>
  <c r="AD21" i="139"/>
  <c r="AD37" i="139"/>
  <c r="AD9" i="139"/>
  <c r="AB40" i="139"/>
  <c r="AB30" i="139"/>
  <c r="AB29" i="139"/>
  <c r="AB26" i="139"/>
  <c r="AB23" i="139"/>
  <c r="AB21" i="139"/>
  <c r="AB37" i="139"/>
  <c r="AB9" i="139"/>
  <c r="Z40" i="139"/>
  <c r="Z30" i="139"/>
  <c r="Z29" i="139"/>
  <c r="Z26" i="139"/>
  <c r="Z23" i="139"/>
  <c r="Z21" i="139"/>
  <c r="Z37" i="139"/>
  <c r="Z9" i="139"/>
  <c r="X40" i="139"/>
  <c r="X30" i="139"/>
  <c r="X29" i="139"/>
  <c r="X26" i="139"/>
  <c r="X23" i="139"/>
  <c r="X21" i="139"/>
  <c r="X37" i="139"/>
  <c r="X9" i="139"/>
  <c r="N40" i="139"/>
  <c r="N30" i="139"/>
  <c r="N29" i="139"/>
  <c r="N26" i="139"/>
  <c r="N23" i="139"/>
  <c r="N21" i="139"/>
  <c r="N37" i="139"/>
  <c r="N9" i="139"/>
  <c r="L40" i="139"/>
  <c r="L30" i="139"/>
  <c r="L29" i="139"/>
  <c r="L26" i="139"/>
  <c r="L23" i="139"/>
  <c r="L21" i="139"/>
  <c r="L37" i="139"/>
  <c r="L9" i="139"/>
  <c r="J40" i="139"/>
  <c r="J30" i="139"/>
  <c r="J29" i="139"/>
  <c r="J26" i="139"/>
  <c r="J23" i="139"/>
  <c r="J21" i="139"/>
  <c r="J37" i="139"/>
  <c r="J9" i="139"/>
  <c r="B13" i="28"/>
  <c r="J4" i="144"/>
  <c r="S29" i="288" l="1" a="1"/>
  <c r="S29" i="288" s="1"/>
  <c r="R29" i="286" a="1"/>
  <c r="R29" i="286" s="1"/>
  <c r="R29" i="285" a="1"/>
  <c r="R29" i="285" s="1"/>
  <c r="R15" i="291"/>
  <c r="S18" i="291"/>
  <c r="T14" i="291"/>
  <c r="U16" i="291"/>
  <c r="T17" i="291"/>
  <c r="S15" i="290"/>
  <c r="T18" i="290"/>
  <c r="U14" i="290"/>
  <c r="U17" i="290"/>
  <c r="V16" i="290"/>
  <c r="S15" i="289"/>
  <c r="T18" i="289"/>
  <c r="U14" i="289"/>
  <c r="V16" i="289"/>
  <c r="U17" i="289"/>
  <c r="S15" i="288"/>
  <c r="T18" i="288"/>
  <c r="T29" i="288" s="1" a="1"/>
  <c r="T29" i="288" s="1"/>
  <c r="U14" i="288"/>
  <c r="U17" i="288"/>
  <c r="V16" i="288"/>
  <c r="S15" i="287"/>
  <c r="T18" i="287"/>
  <c r="T29" i="287" s="1" a="1"/>
  <c r="T29" i="287" s="1"/>
  <c r="U14" i="287"/>
  <c r="U17" i="287"/>
  <c r="V16" i="287"/>
  <c r="R15" i="286"/>
  <c r="S18" i="286"/>
  <c r="S29" i="286" a="1"/>
  <c r="S29" i="286" s="1"/>
  <c r="T14" i="286"/>
  <c r="T17" i="286"/>
  <c r="U16" i="286"/>
  <c r="R15" i="285"/>
  <c r="S18" i="285"/>
  <c r="S29" i="285" s="1" a="1"/>
  <c r="S29" i="285" s="1"/>
  <c r="T14" i="285"/>
  <c r="U16" i="285"/>
  <c r="T17" i="285"/>
  <c r="R15" i="284"/>
  <c r="S18" i="284"/>
  <c r="T14" i="284"/>
  <c r="U16" i="284"/>
  <c r="T17" i="284"/>
  <c r="R15" i="283"/>
  <c r="S18" i="283"/>
  <c r="T14" i="283"/>
  <c r="U16" i="283"/>
  <c r="T17" i="283"/>
  <c r="R15" i="282"/>
  <c r="S18" i="282"/>
  <c r="T14" i="282"/>
  <c r="U16" i="282"/>
  <c r="T17" i="282"/>
  <c r="R15" i="281"/>
  <c r="S18" i="281"/>
  <c r="T14" i="281"/>
  <c r="U16" i="281"/>
  <c r="T17" i="281"/>
  <c r="S29" i="287" a="1"/>
  <c r="S29" i="287" s="1"/>
  <c r="R29" i="284" a="1"/>
  <c r="R29" i="284" s="1"/>
  <c r="R29" i="283" a="1"/>
  <c r="R29" i="283" s="1"/>
  <c r="R29" i="282" a="1"/>
  <c r="R29" i="282" s="1"/>
  <c r="R29" i="281" a="1"/>
  <c r="R29" i="281" s="1"/>
  <c r="B555" i="28"/>
  <c r="B556" i="28"/>
  <c r="B601" i="28"/>
  <c r="B617" i="28"/>
  <c r="B633" i="28"/>
  <c r="B649" i="28"/>
  <c r="B665" i="28"/>
  <c r="B681" i="28"/>
  <c r="B697" i="28"/>
  <c r="B713" i="28"/>
  <c r="B729" i="28"/>
  <c r="B745" i="28"/>
  <c r="B761" i="28"/>
  <c r="B777" i="28"/>
  <c r="B793" i="28"/>
  <c r="B809" i="28"/>
  <c r="B596" i="28"/>
  <c r="B580" i="28"/>
  <c r="B564" i="28"/>
  <c r="B548" i="28"/>
  <c r="B532" i="28"/>
  <c r="B516" i="28"/>
  <c r="B499" i="28"/>
  <c r="B483" i="28"/>
  <c r="B467" i="28"/>
  <c r="B451" i="28"/>
  <c r="AB44" i="139" s="1"/>
  <c r="B435" i="28"/>
  <c r="B419" i="28"/>
  <c r="B43" i="139" s="1"/>
  <c r="B403" i="28"/>
  <c r="C38" i="139" s="1"/>
  <c r="B387" i="28"/>
  <c r="B32" i="139" s="1"/>
  <c r="B371" i="28"/>
  <c r="G26" i="139" s="1"/>
  <c r="B355" i="28"/>
  <c r="B339" i="28"/>
  <c r="C14" i="139" s="1"/>
  <c r="B323" i="28"/>
  <c r="B306" i="28"/>
  <c r="B290" i="28"/>
  <c r="B274" i="28"/>
  <c r="B258" i="28"/>
  <c r="B242" i="28"/>
  <c r="B226" i="28"/>
  <c r="B209" i="28"/>
  <c r="B193" i="28"/>
  <c r="B177" i="28"/>
  <c r="B161" i="28"/>
  <c r="B145" i="28"/>
  <c r="B129" i="28"/>
  <c r="B113" i="28"/>
  <c r="B97" i="28"/>
  <c r="B81" i="28"/>
  <c r="B65" i="28"/>
  <c r="B49" i="28"/>
  <c r="B33" i="28"/>
  <c r="B257" i="28"/>
  <c r="B192" i="28"/>
  <c r="B144" i="28"/>
  <c r="B112" i="28"/>
  <c r="B80" i="28"/>
  <c r="B64" i="28"/>
  <c r="B32" i="28"/>
  <c r="B804" i="28"/>
  <c r="B440" i="28"/>
  <c r="B344" i="28"/>
  <c r="B182" i="28"/>
  <c r="B102" i="28"/>
  <c r="B629" i="28"/>
  <c r="B805" i="28"/>
  <c r="B504" i="28"/>
  <c r="G25" i="139" s="1"/>
  <c r="B327" i="28"/>
  <c r="B181" i="28"/>
  <c r="B710" i="28"/>
  <c r="B535" i="28"/>
  <c r="B390" i="28"/>
  <c r="G32" i="139" s="1"/>
  <c r="B326" i="28"/>
  <c r="B212" i="28"/>
  <c r="B84" i="28"/>
  <c r="B615" i="28"/>
  <c r="B791" i="28"/>
  <c r="B421" i="28"/>
  <c r="B195" i="28"/>
  <c r="B664" i="28"/>
  <c r="B565" i="28"/>
  <c r="B404" i="28"/>
  <c r="B307" i="28"/>
  <c r="B178" i="28"/>
  <c r="Q9" i="138" s="1"/>
  <c r="B34" i="28"/>
  <c r="B602" i="28"/>
  <c r="B618" i="28"/>
  <c r="B634" i="28"/>
  <c r="B650" i="28"/>
  <c r="B666" i="28"/>
  <c r="B682" i="28"/>
  <c r="B698" i="28"/>
  <c r="B714" i="28"/>
  <c r="B730" i="28"/>
  <c r="B746" i="28"/>
  <c r="B762" i="28"/>
  <c r="B778" i="28"/>
  <c r="B794" i="28"/>
  <c r="B810" i="28"/>
  <c r="B595" i="28"/>
  <c r="B579" i="28"/>
  <c r="B563" i="28"/>
  <c r="B547" i="28"/>
  <c r="B531" i="28"/>
  <c r="B515" i="28"/>
  <c r="B498" i="28"/>
  <c r="B482" i="28"/>
  <c r="B466" i="28"/>
  <c r="AB48" i="139" s="1"/>
  <c r="B450" i="28"/>
  <c r="V44" i="139" s="1"/>
  <c r="B434" i="28"/>
  <c r="B418" i="28"/>
  <c r="C42" i="139" s="1"/>
  <c r="B402" i="28"/>
  <c r="B386" i="28"/>
  <c r="B370" i="28"/>
  <c r="B354" i="28"/>
  <c r="B20" i="139" s="1"/>
  <c r="B338" i="28"/>
  <c r="B14" i="139" s="1"/>
  <c r="B322" i="28"/>
  <c r="B305" i="28"/>
  <c r="B289" i="28"/>
  <c r="B273" i="28"/>
  <c r="B241" i="28"/>
  <c r="B225" i="28"/>
  <c r="B208" i="28"/>
  <c r="B176" i="28"/>
  <c r="B160" i="28"/>
  <c r="B128" i="28"/>
  <c r="B96" i="28"/>
  <c r="B48" i="28"/>
  <c r="B788" i="28"/>
  <c r="B408" i="28"/>
  <c r="B295" i="28"/>
  <c r="B150" i="28"/>
  <c r="B38" i="28"/>
  <c r="B645" i="28"/>
  <c r="B584" i="28"/>
  <c r="B455" i="28"/>
  <c r="B46" i="139" s="1"/>
  <c r="B278" i="28"/>
  <c r="B678" i="28"/>
  <c r="B551" i="28"/>
  <c r="B406" i="28"/>
  <c r="C39" i="139" s="1"/>
  <c r="B261" i="28"/>
  <c r="B116" i="28"/>
  <c r="B631" i="28"/>
  <c r="B807" i="28"/>
  <c r="B469" i="28"/>
  <c r="B260" i="28"/>
  <c r="B51" i="28"/>
  <c r="B776" i="28"/>
  <c r="B501" i="28"/>
  <c r="B372" i="28"/>
  <c r="B27" i="139" s="1"/>
  <c r="B194" i="28"/>
  <c r="B66" i="28"/>
  <c r="B603" i="28"/>
  <c r="B619" i="28"/>
  <c r="B635" i="28"/>
  <c r="B651" i="28"/>
  <c r="B667" i="28"/>
  <c r="B683" i="28"/>
  <c r="B699" i="28"/>
  <c r="B715" i="28"/>
  <c r="B731" i="28"/>
  <c r="B747" i="28"/>
  <c r="B763" i="28"/>
  <c r="B779" i="28"/>
  <c r="B795" i="28"/>
  <c r="B811" i="28"/>
  <c r="B594" i="28"/>
  <c r="B578" i="28"/>
  <c r="B562" i="28"/>
  <c r="B546" i="28"/>
  <c r="B530" i="28"/>
  <c r="B514" i="28"/>
  <c r="B497" i="28"/>
  <c r="B481" i="28"/>
  <c r="B465" i="28"/>
  <c r="V48" i="139" s="1"/>
  <c r="B449" i="28"/>
  <c r="P44" i="139" s="1"/>
  <c r="B433" i="28"/>
  <c r="B417" i="28"/>
  <c r="B42" i="139" s="1"/>
  <c r="B401" i="28"/>
  <c r="G37" i="139" s="1"/>
  <c r="B385" i="28"/>
  <c r="B369" i="28"/>
  <c r="B353" i="28"/>
  <c r="B337" i="28"/>
  <c r="B321" i="28"/>
  <c r="B304" i="28"/>
  <c r="B288" i="28"/>
  <c r="B272" i="28"/>
  <c r="B256" i="28"/>
  <c r="B240" i="28"/>
  <c r="B224" i="28"/>
  <c r="B207" i="28"/>
  <c r="B191" i="28"/>
  <c r="B175" i="28"/>
  <c r="B159" i="28"/>
  <c r="B143" i="28"/>
  <c r="B127" i="28"/>
  <c r="B111" i="28"/>
  <c r="B95" i="28"/>
  <c r="B79" i="28"/>
  <c r="B63" i="28"/>
  <c r="B47" i="28"/>
  <c r="B31" i="28"/>
  <c r="B123" i="28"/>
  <c r="B91" i="28"/>
  <c r="B27" i="28"/>
  <c r="B151" i="28"/>
  <c r="B55" i="28"/>
  <c r="B708" i="28"/>
  <c r="B279" i="28"/>
  <c r="B741" i="28"/>
  <c r="B391" i="28"/>
  <c r="B34" i="139" s="1"/>
  <c r="B101" i="28"/>
  <c r="B774" i="28"/>
  <c r="B503" i="28"/>
  <c r="B245" i="28"/>
  <c r="B711" i="28"/>
  <c r="B550" i="28"/>
  <c r="B325" i="28"/>
  <c r="B131" i="28"/>
  <c r="B696" i="28"/>
  <c r="B468" i="28"/>
  <c r="B243" i="28"/>
  <c r="B604" i="28"/>
  <c r="B620" i="28"/>
  <c r="B636" i="28"/>
  <c r="B652" i="28"/>
  <c r="B668" i="28"/>
  <c r="B684" i="28"/>
  <c r="B700" i="28"/>
  <c r="B716" i="28"/>
  <c r="B732" i="28"/>
  <c r="B748" i="28"/>
  <c r="B764" i="28"/>
  <c r="B780" i="28"/>
  <c r="B796" i="28"/>
  <c r="B812" i="28"/>
  <c r="B593" i="28"/>
  <c r="B577" i="28"/>
  <c r="B561" i="28"/>
  <c r="B545" i="28"/>
  <c r="B529" i="28"/>
  <c r="B513" i="28"/>
  <c r="B496" i="28"/>
  <c r="B480" i="28"/>
  <c r="B464" i="28"/>
  <c r="N48" i="139" s="1"/>
  <c r="B448" i="28"/>
  <c r="J44" i="139" s="1"/>
  <c r="B432" i="28"/>
  <c r="B416" i="28"/>
  <c r="B400" i="28"/>
  <c r="C37" i="139" s="1"/>
  <c r="B384" i="28"/>
  <c r="G30" i="139" s="1"/>
  <c r="B368" i="28"/>
  <c r="G24" i="139" s="1"/>
  <c r="B352" i="28"/>
  <c r="B19" i="139" s="1"/>
  <c r="B336" i="28"/>
  <c r="C10" i="139" s="1"/>
  <c r="B319" i="28"/>
  <c r="B303" i="28"/>
  <c r="B287" i="28"/>
  <c r="B271" i="28"/>
  <c r="B255" i="28"/>
  <c r="B239" i="28"/>
  <c r="B223" i="28"/>
  <c r="B206" i="28"/>
  <c r="B190" i="28"/>
  <c r="B174" i="28"/>
  <c r="B158" i="28"/>
  <c r="B142" i="28"/>
  <c r="B126" i="28"/>
  <c r="B110" i="28"/>
  <c r="B94" i="28"/>
  <c r="B78" i="28"/>
  <c r="B62" i="28"/>
  <c r="B46" i="28"/>
  <c r="B30" i="28"/>
  <c r="B119" i="28"/>
  <c r="B23" i="28"/>
  <c r="B644" i="28"/>
  <c r="B772" i="28"/>
  <c r="B820" i="28"/>
  <c r="B537" i="28"/>
  <c r="B456" i="28"/>
  <c r="C46" i="139" s="1"/>
  <c r="B360" i="28"/>
  <c r="B22" i="139" s="1"/>
  <c r="B198" i="28"/>
  <c r="B54" i="28"/>
  <c r="B677" i="28"/>
  <c r="B600" i="28"/>
  <c r="B487" i="28"/>
  <c r="B343" i="28"/>
  <c r="B16" i="139" s="1"/>
  <c r="B213" i="28"/>
  <c r="B117" i="28"/>
  <c r="B646" i="28"/>
  <c r="B790" i="28"/>
  <c r="B519" i="28"/>
  <c r="B358" i="28"/>
  <c r="B196" i="28"/>
  <c r="B52" i="28"/>
  <c r="B695" i="28"/>
  <c r="B534" i="28"/>
  <c r="B405" i="28"/>
  <c r="B39" i="139" s="1"/>
  <c r="B292" i="28"/>
  <c r="B179" i="28"/>
  <c r="B99" i="28"/>
  <c r="B616" i="28"/>
  <c r="B792" i="28"/>
  <c r="B436" i="28"/>
  <c r="B291" i="28"/>
  <c r="B146" i="28"/>
  <c r="B605" i="28"/>
  <c r="B621" i="28"/>
  <c r="B637" i="28"/>
  <c r="B653" i="28"/>
  <c r="B669" i="28"/>
  <c r="B685" i="28"/>
  <c r="B701" i="28"/>
  <c r="B717" i="28"/>
  <c r="B733" i="28"/>
  <c r="B749" i="28"/>
  <c r="B765" i="28"/>
  <c r="B781" i="28"/>
  <c r="B797" i="28"/>
  <c r="B813" i="28"/>
  <c r="B592" i="28"/>
  <c r="B576" i="28"/>
  <c r="B560" i="28"/>
  <c r="B544" i="28"/>
  <c r="B528" i="28"/>
  <c r="B512" i="28"/>
  <c r="B495" i="28"/>
  <c r="B479" i="28"/>
  <c r="B463" i="28"/>
  <c r="B447" i="28"/>
  <c r="C44" i="139" s="1"/>
  <c r="B431" i="28"/>
  <c r="B415" i="28"/>
  <c r="C41" i="139" s="1"/>
  <c r="B399" i="28"/>
  <c r="B37" i="139" s="1"/>
  <c r="B383" i="28"/>
  <c r="B367" i="28"/>
  <c r="B351" i="28"/>
  <c r="G18" i="139" s="1"/>
  <c r="B335" i="28"/>
  <c r="B10" i="139" s="1"/>
  <c r="B318" i="28"/>
  <c r="B302" i="28"/>
  <c r="B286" i="28"/>
  <c r="B270" i="28"/>
  <c r="B254" i="28"/>
  <c r="B238" i="28"/>
  <c r="B222" i="28"/>
  <c r="B205" i="28"/>
  <c r="B189" i="28"/>
  <c r="B173" i="28"/>
  <c r="AA7" i="138" s="1"/>
  <c r="B157" i="28"/>
  <c r="B141" i="28"/>
  <c r="B125" i="28"/>
  <c r="B109" i="28"/>
  <c r="B93" i="28"/>
  <c r="B77" i="28"/>
  <c r="B61" i="28"/>
  <c r="B45" i="28"/>
  <c r="B29" i="28"/>
  <c r="B155" i="28"/>
  <c r="Q10" i="138" s="1"/>
  <c r="B59" i="28"/>
  <c r="B135" i="28"/>
  <c r="B692" i="28"/>
  <c r="B263" i="28"/>
  <c r="B773" i="28"/>
  <c r="B375" i="28"/>
  <c r="B28" i="139" s="1"/>
  <c r="B85" i="28"/>
  <c r="B758" i="28"/>
  <c r="B470" i="28"/>
  <c r="B229" i="28"/>
  <c r="B775" i="28"/>
  <c r="B389" i="28"/>
  <c r="C32" i="139" s="1"/>
  <c r="B147" i="28"/>
  <c r="B712" i="28"/>
  <c r="B549" i="28"/>
  <c r="B324" i="28"/>
  <c r="B98" i="28"/>
  <c r="B606" i="28"/>
  <c r="B622" i="28"/>
  <c r="B638" i="28"/>
  <c r="B654" i="28"/>
  <c r="B670" i="28"/>
  <c r="B686" i="28"/>
  <c r="B702" i="28"/>
  <c r="B718" i="28"/>
  <c r="B734" i="28"/>
  <c r="B750" i="28"/>
  <c r="B766" i="28"/>
  <c r="B782" i="28"/>
  <c r="B798" i="28"/>
  <c r="B814" i="28"/>
  <c r="B591" i="28"/>
  <c r="B575" i="28"/>
  <c r="B559" i="28"/>
  <c r="B543" i="28"/>
  <c r="B527" i="28"/>
  <c r="B511" i="28"/>
  <c r="B494" i="28"/>
  <c r="B478" i="28"/>
  <c r="B462" i="28"/>
  <c r="B446" i="28"/>
  <c r="B44" i="139" s="1"/>
  <c r="B430" i="28"/>
  <c r="B414" i="28"/>
  <c r="B41" i="139" s="1"/>
  <c r="B398" i="28"/>
  <c r="B382" i="28"/>
  <c r="B30" i="139" s="1"/>
  <c r="B366" i="28"/>
  <c r="B24" i="139" s="1"/>
  <c r="B350" i="28"/>
  <c r="B334" i="28"/>
  <c r="C9" i="139" s="1"/>
  <c r="B317" i="28"/>
  <c r="B301" i="28"/>
  <c r="B285" i="28"/>
  <c r="B269" i="28"/>
  <c r="B253" i="28"/>
  <c r="B237" i="28"/>
  <c r="B221" i="28"/>
  <c r="B204" i="28"/>
  <c r="B188" i="28"/>
  <c r="B172" i="28"/>
  <c r="AA6" i="138" s="1"/>
  <c r="B156" i="28"/>
  <c r="B140" i="28"/>
  <c r="B124" i="28"/>
  <c r="B108" i="28"/>
  <c r="B92" i="28"/>
  <c r="B76" i="28"/>
  <c r="B60" i="28"/>
  <c r="B44" i="28"/>
  <c r="B28" i="28"/>
  <c r="B171" i="28"/>
  <c r="AA5" i="138" s="1"/>
  <c r="B43" i="28"/>
  <c r="B167" i="28"/>
  <c r="Q5" i="138" s="1"/>
  <c r="B676" i="28"/>
  <c r="B247" i="28"/>
  <c r="B757" i="28"/>
  <c r="B359" i="28"/>
  <c r="G21" i="139" s="1"/>
  <c r="B69" i="28"/>
  <c r="B742" i="28"/>
  <c r="B486" i="28"/>
  <c r="B164" i="28"/>
  <c r="G5" i="138" s="1"/>
  <c r="B743" i="28"/>
  <c r="B566" i="28"/>
  <c r="B485" i="28"/>
  <c r="B373" i="28"/>
  <c r="B244" i="28"/>
  <c r="B83" i="28"/>
  <c r="B744" i="28"/>
  <c r="B533" i="28"/>
  <c r="B340" i="28"/>
  <c r="B15" i="139" s="1"/>
  <c r="B82" i="28"/>
  <c r="B607" i="28"/>
  <c r="B623" i="28"/>
  <c r="B639" i="28"/>
  <c r="B655" i="28"/>
  <c r="B671" i="28"/>
  <c r="B687" i="28"/>
  <c r="B703" i="28"/>
  <c r="B719" i="28"/>
  <c r="B735" i="28"/>
  <c r="B751" i="28"/>
  <c r="B767" i="28"/>
  <c r="B783" i="28"/>
  <c r="B799" i="28"/>
  <c r="B815" i="28"/>
  <c r="B590" i="28"/>
  <c r="B574" i="28"/>
  <c r="B558" i="28"/>
  <c r="B542" i="28"/>
  <c r="B526" i="28"/>
  <c r="B510" i="28"/>
  <c r="B493" i="28"/>
  <c r="B477" i="28"/>
  <c r="B461" i="28"/>
  <c r="B445" i="28"/>
  <c r="B429" i="28"/>
  <c r="B413" i="28"/>
  <c r="B397" i="28"/>
  <c r="B381" i="28"/>
  <c r="G29" i="139" s="1"/>
  <c r="B365" i="28"/>
  <c r="G23" i="139" s="1"/>
  <c r="B349" i="28"/>
  <c r="B18" i="139" s="1"/>
  <c r="B333" i="28"/>
  <c r="B9" i="139" s="1"/>
  <c r="B316" i="28"/>
  <c r="B300" i="28"/>
  <c r="B284" i="28"/>
  <c r="B268" i="28"/>
  <c r="B252" i="28"/>
  <c r="B236" i="28"/>
  <c r="B219" i="28"/>
  <c r="B203" i="28"/>
  <c r="B187" i="28"/>
  <c r="B139" i="28"/>
  <c r="B107" i="28"/>
  <c r="X12" i="138" s="1"/>
  <c r="B75" i="28"/>
  <c r="B199" i="28"/>
  <c r="B724" i="28"/>
  <c r="B214" i="28"/>
  <c r="B725" i="28"/>
  <c r="B310" i="28"/>
  <c r="B726" i="28"/>
  <c r="B374" i="28"/>
  <c r="G27" i="139" s="1"/>
  <c r="B132" i="28"/>
  <c r="B727" i="28"/>
  <c r="B502" i="28"/>
  <c r="B25" i="139" s="1"/>
  <c r="B276" i="28"/>
  <c r="B67" i="28"/>
  <c r="B728" i="28"/>
  <c r="B484" i="28"/>
  <c r="B227" i="28"/>
  <c r="B608" i="28"/>
  <c r="B624" i="28"/>
  <c r="B640" i="28"/>
  <c r="B656" i="28"/>
  <c r="B672" i="28"/>
  <c r="B688" i="28"/>
  <c r="B704" i="28"/>
  <c r="B720" i="28"/>
  <c r="B736" i="28"/>
  <c r="B752" i="28"/>
  <c r="B768" i="28"/>
  <c r="B784" i="28"/>
  <c r="B800" i="28"/>
  <c r="B816" i="28"/>
  <c r="B589" i="28"/>
  <c r="B573" i="28"/>
  <c r="B557" i="28"/>
  <c r="B541" i="28"/>
  <c r="B525" i="28"/>
  <c r="B509" i="28"/>
  <c r="B492" i="28"/>
  <c r="B476" i="28"/>
  <c r="B460" i="28"/>
  <c r="B444" i="28"/>
  <c r="B428" i="28"/>
  <c r="B412" i="28"/>
  <c r="B396" i="28"/>
  <c r="C34" i="139" s="1"/>
  <c r="B380" i="28"/>
  <c r="B364" i="28"/>
  <c r="B348" i="28"/>
  <c r="G17" i="139" s="1"/>
  <c r="B332" i="28"/>
  <c r="B315" i="28"/>
  <c r="C13" i="139" s="1"/>
  <c r="B299" i="28"/>
  <c r="B283" i="28"/>
  <c r="B267" i="28"/>
  <c r="B251" i="28"/>
  <c r="B235" i="28"/>
  <c r="B218" i="28"/>
  <c r="B202" i="28"/>
  <c r="B186" i="28"/>
  <c r="AE8" i="138" s="1"/>
  <c r="B170" i="28"/>
  <c r="B154" i="28"/>
  <c r="B138" i="28"/>
  <c r="B122" i="28"/>
  <c r="B106" i="28"/>
  <c r="B90" i="28"/>
  <c r="B74" i="28"/>
  <c r="B58" i="28"/>
  <c r="B42" i="28"/>
  <c r="B26" i="28"/>
  <c r="B183" i="28"/>
  <c r="B39" i="28"/>
  <c r="B660" i="28"/>
  <c r="B569" i="28"/>
  <c r="B521" i="28"/>
  <c r="B424" i="28"/>
  <c r="B231" i="28"/>
  <c r="B86" i="28"/>
  <c r="B661" i="28"/>
  <c r="B536" i="28"/>
  <c r="B407" i="28"/>
  <c r="G39" i="139" s="1"/>
  <c r="B230" i="28"/>
  <c r="B53" i="28"/>
  <c r="B694" i="28"/>
  <c r="B583" i="28"/>
  <c r="B438" i="28"/>
  <c r="B293" i="28"/>
  <c r="B148" i="28"/>
  <c r="B647" i="28"/>
  <c r="B598" i="28"/>
  <c r="B341" i="28"/>
  <c r="C15" i="139" s="1"/>
  <c r="B115" i="28"/>
  <c r="B680" i="28"/>
  <c r="B581" i="28"/>
  <c r="B420" i="28"/>
  <c r="C43" i="139" s="1"/>
  <c r="B259" i="28"/>
  <c r="B130" i="28"/>
  <c r="B609" i="28"/>
  <c r="B625" i="28"/>
  <c r="B641" i="28"/>
  <c r="B657" i="28"/>
  <c r="B673" i="28"/>
  <c r="B689" i="28"/>
  <c r="B705" i="28"/>
  <c r="B721" i="28"/>
  <c r="B737" i="28"/>
  <c r="B753" i="28"/>
  <c r="B769" i="28"/>
  <c r="B785" i="28"/>
  <c r="B801" i="28"/>
  <c r="B817" i="28"/>
  <c r="B588" i="28"/>
  <c r="B572" i="28"/>
  <c r="B540" i="28"/>
  <c r="B524" i="28"/>
  <c r="B508" i="28"/>
  <c r="B491" i="28"/>
  <c r="B475" i="28"/>
  <c r="B52" i="139" s="1"/>
  <c r="B459" i="28"/>
  <c r="B443" i="28"/>
  <c r="B427" i="28"/>
  <c r="P31" i="139" s="1"/>
  <c r="B411" i="28"/>
  <c r="G40" i="139" s="1"/>
  <c r="B395" i="28"/>
  <c r="B379" i="28"/>
  <c r="B29" i="139" s="1"/>
  <c r="B363" i="28"/>
  <c r="B23" i="139" s="1"/>
  <c r="B347" i="28"/>
  <c r="B331" i="28"/>
  <c r="B314" i="28"/>
  <c r="B298" i="28"/>
  <c r="B282" i="28"/>
  <c r="B250" i="28"/>
  <c r="B234" i="28"/>
  <c r="B217" i="28"/>
  <c r="B201" i="28"/>
  <c r="B185" i="28"/>
  <c r="B169" i="28"/>
  <c r="Q7" i="138" s="1"/>
  <c r="B153" i="28"/>
  <c r="B137" i="28"/>
  <c r="B121" i="28"/>
  <c r="B105" i="28"/>
  <c r="B89" i="28"/>
  <c r="B73" i="28"/>
  <c r="B57" i="28"/>
  <c r="B41" i="28"/>
  <c r="B25" i="28"/>
  <c r="B24" i="28"/>
  <c r="B71" i="28"/>
  <c r="B612" i="28"/>
  <c r="B585" i="28"/>
  <c r="B488" i="28"/>
  <c r="B392" i="28"/>
  <c r="C33" i="139" s="1"/>
  <c r="B311" i="28"/>
  <c r="B118" i="28"/>
  <c r="B613" i="28"/>
  <c r="B568" i="28"/>
  <c r="B439" i="28"/>
  <c r="B262" i="28"/>
  <c r="B165" i="28"/>
  <c r="B37" i="28"/>
  <c r="B630" i="28"/>
  <c r="B806" i="28"/>
  <c r="B422" i="28"/>
  <c r="B277" i="28"/>
  <c r="B100" i="28"/>
  <c r="B663" i="28"/>
  <c r="B518" i="28"/>
  <c r="B357" i="28"/>
  <c r="B21" i="139" s="1"/>
  <c r="B211" i="28"/>
  <c r="B35" i="28"/>
  <c r="B760" i="28"/>
  <c r="B517" i="28"/>
  <c r="B388" i="28"/>
  <c r="B275" i="28"/>
  <c r="B162" i="28"/>
  <c r="G3" i="138" s="1"/>
  <c r="B610" i="28"/>
  <c r="B626" i="28"/>
  <c r="B642" i="28"/>
  <c r="B658" i="28"/>
  <c r="B674" i="28"/>
  <c r="B690" i="28"/>
  <c r="B706" i="28"/>
  <c r="B722" i="28"/>
  <c r="B738" i="28"/>
  <c r="B754" i="28"/>
  <c r="B770" i="28"/>
  <c r="B786" i="28"/>
  <c r="B802" i="28"/>
  <c r="B818" i="28"/>
  <c r="B587" i="28"/>
  <c r="B571" i="28"/>
  <c r="B539" i="28"/>
  <c r="B523" i="28"/>
  <c r="B507" i="28"/>
  <c r="B490" i="28"/>
  <c r="B474" i="28"/>
  <c r="B458" i="28"/>
  <c r="P46" i="139" s="1"/>
  <c r="B442" i="28"/>
  <c r="B426" i="28"/>
  <c r="H31" i="139" s="1"/>
  <c r="B410" i="28"/>
  <c r="B394" i="28"/>
  <c r="B378" i="28"/>
  <c r="B362" i="28"/>
  <c r="G22" i="139" s="1"/>
  <c r="B346" i="28"/>
  <c r="B330" i="28"/>
  <c r="B313" i="28"/>
  <c r="B297" i="28"/>
  <c r="B281" i="28"/>
  <c r="B249" i="28"/>
  <c r="B233" i="28"/>
  <c r="B216" i="28"/>
  <c r="B200" i="28"/>
  <c r="B184" i="28"/>
  <c r="B168" i="28"/>
  <c r="Q6" i="138" s="1"/>
  <c r="B152" i="28"/>
  <c r="B136" i="28"/>
  <c r="B120" i="28"/>
  <c r="B104" i="28"/>
  <c r="B88" i="28"/>
  <c r="B72" i="28"/>
  <c r="B56" i="28"/>
  <c r="B40" i="28"/>
  <c r="B87" i="28"/>
  <c r="B628" i="28"/>
  <c r="B756" i="28"/>
  <c r="B553" i="28"/>
  <c r="B505" i="28"/>
  <c r="B376" i="28"/>
  <c r="B166" i="28"/>
  <c r="B709" i="28"/>
  <c r="B552" i="28"/>
  <c r="B471" i="28"/>
  <c r="B294" i="28"/>
  <c r="B197" i="28"/>
  <c r="B614" i="28"/>
  <c r="B567" i="28"/>
  <c r="B342" i="28"/>
  <c r="B36" i="28"/>
  <c r="B759" i="28"/>
  <c r="B453" i="28"/>
  <c r="B228" i="28"/>
  <c r="B648" i="28"/>
  <c r="B597" i="28"/>
  <c r="B356" i="28"/>
  <c r="G20" i="139" s="1"/>
  <c r="B114" i="28"/>
  <c r="B59" i="138" s="1"/>
  <c r="B611" i="28"/>
  <c r="B627" i="28"/>
  <c r="B643" i="28"/>
  <c r="B659" i="28"/>
  <c r="B675" i="28"/>
  <c r="B691" i="28"/>
  <c r="B707" i="28"/>
  <c r="B723" i="28"/>
  <c r="B739" i="28"/>
  <c r="B755" i="28"/>
  <c r="B771" i="28"/>
  <c r="B787" i="28"/>
  <c r="B803" i="28"/>
  <c r="B819" i="28"/>
  <c r="B586" i="28"/>
  <c r="B570" i="28"/>
  <c r="B554" i="28"/>
  <c r="B538" i="28"/>
  <c r="B522" i="28"/>
  <c r="B506" i="28"/>
  <c r="B489" i="28"/>
  <c r="B473" i="28"/>
  <c r="B457" i="28"/>
  <c r="J46" i="139" s="1"/>
  <c r="B441" i="28"/>
  <c r="B425" i="28"/>
  <c r="B409" i="28"/>
  <c r="C40" i="139" s="1"/>
  <c r="B393" i="28"/>
  <c r="B377" i="28"/>
  <c r="G28" i="139" s="1"/>
  <c r="B361" i="28"/>
  <c r="B345" i="28"/>
  <c r="B17" i="139" s="1"/>
  <c r="B329" i="28"/>
  <c r="B312" i="28"/>
  <c r="B296" i="28"/>
  <c r="B280" i="28"/>
  <c r="B248" i="28"/>
  <c r="B232" i="28"/>
  <c r="B215" i="28"/>
  <c r="B103" i="28"/>
  <c r="S12" i="138" s="1"/>
  <c r="B740" i="28"/>
  <c r="B472" i="28"/>
  <c r="B328" i="28"/>
  <c r="B134" i="28"/>
  <c r="B70" i="28"/>
  <c r="B693" i="28"/>
  <c r="B789" i="28"/>
  <c r="B520" i="28"/>
  <c r="B423" i="28"/>
  <c r="B246" i="28"/>
  <c r="B149" i="28"/>
  <c r="B662" i="28"/>
  <c r="B599" i="28"/>
  <c r="B454" i="28"/>
  <c r="B309" i="28"/>
  <c r="B180" i="28"/>
  <c r="B68" i="28"/>
  <c r="B679" i="28"/>
  <c r="B582" i="28"/>
  <c r="B437" i="28"/>
  <c r="B308" i="28"/>
  <c r="B163" i="28"/>
  <c r="B632" i="28"/>
  <c r="B808" i="28"/>
  <c r="B452" i="28"/>
  <c r="B210" i="28"/>
  <c r="B50" i="28"/>
  <c r="V221" i="145"/>
  <c r="K97" i="145"/>
  <c r="L97" i="145"/>
  <c r="M97" i="145"/>
  <c r="R97" i="145"/>
  <c r="S97" i="145"/>
  <c r="T97" i="145"/>
  <c r="U97" i="145"/>
  <c r="N97" i="145"/>
  <c r="O97" i="145"/>
  <c r="P97" i="145"/>
  <c r="Q97" i="145"/>
  <c r="J18" i="139"/>
  <c r="Z18" i="139"/>
  <c r="P18" i="139"/>
  <c r="R18" i="139"/>
  <c r="N18" i="139"/>
  <c r="AB18" i="139"/>
  <c r="T18" i="139"/>
  <c r="L18" i="139"/>
  <c r="X18" i="139"/>
  <c r="AD18" i="139"/>
  <c r="V18" i="139"/>
  <c r="C11" i="139" l="1"/>
  <c r="D27" i="289"/>
  <c r="D27" i="284"/>
  <c r="D27" i="283"/>
  <c r="D27" i="135"/>
  <c r="D27" i="290"/>
  <c r="D27" i="287"/>
  <c r="D27" i="285"/>
  <c r="D27" i="282"/>
  <c r="D27" i="291"/>
  <c r="D27" i="288"/>
  <c r="D27" i="286"/>
  <c r="D27" i="281"/>
  <c r="T19" i="287"/>
  <c r="T19" i="290"/>
  <c r="T29" i="290" a="1"/>
  <c r="T29" i="290" s="1"/>
  <c r="S19" i="286"/>
  <c r="S19" i="285"/>
  <c r="S19" i="282"/>
  <c r="S29" i="281" a="1"/>
  <c r="S29" i="281" s="1"/>
  <c r="S19" i="281"/>
  <c r="S15" i="291"/>
  <c r="T18" i="291"/>
  <c r="U14" i="291"/>
  <c r="V16" i="291"/>
  <c r="U17" i="291"/>
  <c r="T15" i="290"/>
  <c r="U18" i="290"/>
  <c r="U29" i="290" a="1"/>
  <c r="U29" i="290" s="1"/>
  <c r="U19" i="290"/>
  <c r="V17" i="290"/>
  <c r="V14" i="290"/>
  <c r="W16" i="290"/>
  <c r="T15" i="289"/>
  <c r="U18" i="289"/>
  <c r="V14" i="289"/>
  <c r="V17" i="289"/>
  <c r="W16" i="289"/>
  <c r="T15" i="288"/>
  <c r="U18" i="288"/>
  <c r="V14" i="288"/>
  <c r="W16" i="288"/>
  <c r="V17" i="288"/>
  <c r="T15" i="287"/>
  <c r="U18" i="287"/>
  <c r="U29" i="287" a="1"/>
  <c r="U29" i="287" s="1"/>
  <c r="V14" i="287"/>
  <c r="V17" i="287"/>
  <c r="W16" i="287"/>
  <c r="S15" i="286"/>
  <c r="T18" i="286"/>
  <c r="T19" i="286"/>
  <c r="T29" i="286" a="1"/>
  <c r="T29" i="286" s="1"/>
  <c r="U14" i="286"/>
  <c r="V16" i="286"/>
  <c r="U17" i="286"/>
  <c r="S15" i="285"/>
  <c r="T18" i="285"/>
  <c r="U14" i="285"/>
  <c r="V16" i="285"/>
  <c r="U17" i="285"/>
  <c r="S15" i="284"/>
  <c r="T18" i="284"/>
  <c r="U14" i="284"/>
  <c r="V16" i="284"/>
  <c r="U17" i="284"/>
  <c r="S15" i="283"/>
  <c r="T18" i="283"/>
  <c r="U14" i="283"/>
  <c r="V16" i="283"/>
  <c r="U17" i="283"/>
  <c r="S15" i="282"/>
  <c r="T18" i="282"/>
  <c r="U14" i="282"/>
  <c r="V16" i="282"/>
  <c r="U17" i="282"/>
  <c r="S15" i="281"/>
  <c r="T18" i="281"/>
  <c r="U14" i="281"/>
  <c r="V16" i="281"/>
  <c r="U17" i="281"/>
  <c r="T19" i="289"/>
  <c r="T29" i="289" a="1"/>
  <c r="T29" i="289" s="1"/>
  <c r="S19" i="284"/>
  <c r="S29" i="284" a="1"/>
  <c r="S29" i="284" s="1"/>
  <c r="S29" i="283" a="1"/>
  <c r="S29" i="283" s="1"/>
  <c r="S19" i="283"/>
  <c r="D64" i="289"/>
  <c r="D64" i="281"/>
  <c r="D64" i="287"/>
  <c r="D64" i="290"/>
  <c r="D64" i="282"/>
  <c r="D64" i="284"/>
  <c r="D64" i="286"/>
  <c r="D64" i="288"/>
  <c r="D64" i="285"/>
  <c r="D64" i="291"/>
  <c r="D64" i="283"/>
  <c r="D51" i="288"/>
  <c r="D51" i="291"/>
  <c r="D51" i="282"/>
  <c r="D51" i="285"/>
  <c r="D51" i="286"/>
  <c r="D51" i="283"/>
  <c r="D51" i="289"/>
  <c r="D51" i="290"/>
  <c r="D51" i="287"/>
  <c r="D51" i="284"/>
  <c r="D51" i="281"/>
  <c r="D24" i="287"/>
  <c r="D24" i="289"/>
  <c r="D24" i="291"/>
  <c r="D24" i="284"/>
  <c r="D24" i="282"/>
  <c r="D24" i="283"/>
  <c r="D24" i="281"/>
  <c r="D24" i="288"/>
  <c r="D24" i="290"/>
  <c r="D24" i="286"/>
  <c r="D24" i="285"/>
  <c r="O3" i="284"/>
  <c r="O3" i="291"/>
  <c r="O3" i="286"/>
  <c r="O3" i="283"/>
  <c r="O3" i="281"/>
  <c r="O3" i="289"/>
  <c r="O3" i="287"/>
  <c r="O3" i="288"/>
  <c r="O3" i="282"/>
  <c r="O3" i="290"/>
  <c r="O3" i="285"/>
  <c r="D23" i="288"/>
  <c r="D23" i="290"/>
  <c r="D23" i="282"/>
  <c r="D23" i="289"/>
  <c r="D23" i="283"/>
  <c r="D23" i="285"/>
  <c r="D23" i="286"/>
  <c r="D23" i="281"/>
  <c r="D23" i="287"/>
  <c r="D23" i="284"/>
  <c r="D23" i="291"/>
  <c r="F3" i="291"/>
  <c r="F3" i="283"/>
  <c r="F3" i="281"/>
  <c r="F3" i="289"/>
  <c r="F3" i="290"/>
  <c r="F3" i="286"/>
  <c r="F3" i="287"/>
  <c r="F3" i="285"/>
  <c r="F3" i="288"/>
  <c r="F3" i="282"/>
  <c r="F3" i="284"/>
  <c r="P64" i="289"/>
  <c r="P64" i="290"/>
  <c r="P64" i="284"/>
  <c r="P64" i="283"/>
  <c r="P64" i="282"/>
  <c r="P64" i="287"/>
  <c r="P64" i="281"/>
  <c r="P64" i="285"/>
  <c r="P64" i="291"/>
  <c r="P64" i="286"/>
  <c r="P64" i="288"/>
  <c r="Y3" i="282"/>
  <c r="Y3" i="285"/>
  <c r="Y3" i="284"/>
  <c r="Y3" i="289"/>
  <c r="Y3" i="286"/>
  <c r="Y3" i="291"/>
  <c r="Y3" i="288"/>
  <c r="Y3" i="290"/>
  <c r="Y3" i="283"/>
  <c r="Y3" i="287"/>
  <c r="Y3" i="281"/>
  <c r="D50" i="289"/>
  <c r="D50" i="285"/>
  <c r="D50" i="287"/>
  <c r="D50" i="288"/>
  <c r="D50" i="290"/>
  <c r="D50" i="286"/>
  <c r="D50" i="291"/>
  <c r="D50" i="283"/>
  <c r="D50" i="282"/>
  <c r="D50" i="284"/>
  <c r="D50" i="281"/>
  <c r="D35" i="291"/>
  <c r="D35" i="284"/>
  <c r="D35" i="285"/>
  <c r="D35" i="286"/>
  <c r="D35" i="290"/>
  <c r="D35" i="281"/>
  <c r="D35" i="289"/>
  <c r="D35" i="282"/>
  <c r="D35" i="288"/>
  <c r="D35" i="283"/>
  <c r="D35" i="287"/>
  <c r="P12" i="290"/>
  <c r="P12" i="286"/>
  <c r="P12" i="285"/>
  <c r="P12" i="282"/>
  <c r="P12" i="291"/>
  <c r="P12" i="283"/>
  <c r="P12" i="284"/>
  <c r="P12" i="287"/>
  <c r="P12" i="281"/>
  <c r="P12" i="289"/>
  <c r="P12" i="288"/>
  <c r="D10" i="289"/>
  <c r="D10" i="283"/>
  <c r="D10" i="286"/>
  <c r="D10" i="288"/>
  <c r="D10" i="281"/>
  <c r="D10" i="287"/>
  <c r="D10" i="290"/>
  <c r="D10" i="284"/>
  <c r="D10" i="282"/>
  <c r="D10" i="285"/>
  <c r="D10" i="291"/>
  <c r="D54" i="282"/>
  <c r="D54" i="289"/>
  <c r="D54" i="285"/>
  <c r="D54" i="286"/>
  <c r="D54" i="288"/>
  <c r="D54" i="281"/>
  <c r="D54" i="283"/>
  <c r="D54" i="291"/>
  <c r="D54" i="290"/>
  <c r="D54" i="287"/>
  <c r="D54" i="284"/>
  <c r="D38" i="284"/>
  <c r="D38" i="289"/>
  <c r="D38" i="282"/>
  <c r="D38" i="288"/>
  <c r="D38" i="285"/>
  <c r="D38" i="286"/>
  <c r="D38" i="281"/>
  <c r="D38" i="290"/>
  <c r="D38" i="291"/>
  <c r="D38" i="287"/>
  <c r="D38" i="283"/>
  <c r="D29" i="284"/>
  <c r="D29" i="281"/>
  <c r="D29" i="283"/>
  <c r="D29" i="291"/>
  <c r="D29" i="288"/>
  <c r="D29" i="287"/>
  <c r="D29" i="285"/>
  <c r="D29" i="290"/>
  <c r="D29" i="286"/>
  <c r="D29" i="282"/>
  <c r="D29" i="289"/>
  <c r="D28" i="283"/>
  <c r="D28" i="285"/>
  <c r="D28" i="286"/>
  <c r="D28" i="291"/>
  <c r="D28" i="290"/>
  <c r="D28" i="289"/>
  <c r="D28" i="288"/>
  <c r="D28" i="281"/>
  <c r="D28" i="287"/>
  <c r="D28" i="282"/>
  <c r="D28" i="284"/>
  <c r="D62" i="289"/>
  <c r="D62" i="281"/>
  <c r="D62" i="285"/>
  <c r="D62" i="287"/>
  <c r="D62" i="286"/>
  <c r="D62" i="283"/>
  <c r="D62" i="290"/>
  <c r="D62" i="282"/>
  <c r="D62" i="284"/>
  <c r="D62" i="291"/>
  <c r="D62" i="288"/>
  <c r="D49" i="287"/>
  <c r="D49" i="283"/>
  <c r="D49" i="291"/>
  <c r="D49" i="289"/>
  <c r="D49" i="286"/>
  <c r="D49" i="281"/>
  <c r="D49" i="290"/>
  <c r="D49" i="288"/>
  <c r="D49" i="282"/>
  <c r="D49" i="285"/>
  <c r="D49" i="284"/>
  <c r="O12" i="286"/>
  <c r="O12" i="288"/>
  <c r="O12" i="283"/>
  <c r="O12" i="291"/>
  <c r="O12" i="289"/>
  <c r="O12" i="282"/>
  <c r="O12" i="281"/>
  <c r="O12" i="284"/>
  <c r="O12" i="287"/>
  <c r="O12" i="285"/>
  <c r="O12" i="290"/>
  <c r="D2" i="282"/>
  <c r="D2" i="285"/>
  <c r="D2" i="284"/>
  <c r="D2" i="281"/>
  <c r="D2" i="286"/>
  <c r="D2" i="290"/>
  <c r="D2" i="291"/>
  <c r="D2" i="288"/>
  <c r="D2" i="289"/>
  <c r="D2" i="283"/>
  <c r="D2" i="287"/>
  <c r="D39" i="285"/>
  <c r="D39" i="284"/>
  <c r="D39" i="287"/>
  <c r="D39" i="286"/>
  <c r="D39" i="283"/>
  <c r="D39" i="281"/>
  <c r="D39" i="291"/>
  <c r="D39" i="289"/>
  <c r="D39" i="290"/>
  <c r="D39" i="282"/>
  <c r="D39" i="288"/>
  <c r="D47" i="284"/>
  <c r="D47" i="287"/>
  <c r="D47" i="283"/>
  <c r="D47" i="291"/>
  <c r="D47" i="286"/>
  <c r="D47" i="282"/>
  <c r="D47" i="289"/>
  <c r="D47" i="288"/>
  <c r="D47" i="281"/>
  <c r="D47" i="285"/>
  <c r="D47" i="290"/>
  <c r="D34" i="283"/>
  <c r="D34" i="291"/>
  <c r="D34" i="284"/>
  <c r="D34" i="281"/>
  <c r="D34" i="289"/>
  <c r="D34" i="290"/>
  <c r="D34" i="287"/>
  <c r="D34" i="288"/>
  <c r="D34" i="285"/>
  <c r="D34" i="286"/>
  <c r="D34" i="282"/>
  <c r="D9" i="290"/>
  <c r="D9" i="286"/>
  <c r="D9" i="281"/>
  <c r="D9" i="291"/>
  <c r="D9" i="282"/>
  <c r="D9" i="287"/>
  <c r="D9" i="284"/>
  <c r="D9" i="285"/>
  <c r="D9" i="283"/>
  <c r="D9" i="288"/>
  <c r="D9" i="289"/>
  <c r="D12" i="285"/>
  <c r="H9" i="285" s="1"/>
  <c r="D12" i="283"/>
  <c r="H9" i="283" s="1"/>
  <c r="D12" i="284"/>
  <c r="H9" i="284" s="1"/>
  <c r="D12" i="286"/>
  <c r="H9" i="286" s="1"/>
  <c r="D12" i="291"/>
  <c r="H9" i="291" s="1"/>
  <c r="D12" i="288"/>
  <c r="H9" i="288" s="1"/>
  <c r="D12" i="289"/>
  <c r="H9" i="289" s="1"/>
  <c r="D12" i="287"/>
  <c r="H9" i="287" s="1"/>
  <c r="D12" i="281"/>
  <c r="H9" i="281" s="1"/>
  <c r="D12" i="282"/>
  <c r="H9" i="282" s="1"/>
  <c r="D12" i="290"/>
  <c r="H9" i="290" s="1"/>
  <c r="D17" i="282"/>
  <c r="D17" i="289"/>
  <c r="D17" i="287"/>
  <c r="D17" i="288"/>
  <c r="D17" i="286"/>
  <c r="D17" i="290"/>
  <c r="D17" i="284"/>
  <c r="D17" i="281"/>
  <c r="D17" i="283"/>
  <c r="D17" i="291"/>
  <c r="D17" i="285"/>
  <c r="G52" i="288"/>
  <c r="G52" i="287"/>
  <c r="G52" i="289"/>
  <c r="G52" i="283"/>
  <c r="G52" i="285"/>
  <c r="G52" i="282"/>
  <c r="G52" i="291"/>
  <c r="G52" i="290"/>
  <c r="G52" i="281"/>
  <c r="G52" i="284"/>
  <c r="G52" i="286"/>
  <c r="D52" i="285"/>
  <c r="D52" i="281"/>
  <c r="D52" i="290"/>
  <c r="D52" i="289"/>
  <c r="D52" i="283"/>
  <c r="D52" i="287"/>
  <c r="D52" i="286"/>
  <c r="D52" i="291"/>
  <c r="D52" i="284"/>
  <c r="D52" i="288"/>
  <c r="D52" i="282"/>
  <c r="D58" i="290"/>
  <c r="D58" i="287"/>
  <c r="D58" i="282"/>
  <c r="D58" i="285"/>
  <c r="D58" i="283"/>
  <c r="D58" i="286"/>
  <c r="D58" i="281"/>
  <c r="D58" i="289"/>
  <c r="D58" i="284"/>
  <c r="D58" i="291"/>
  <c r="D58" i="288"/>
  <c r="D46" i="282"/>
  <c r="D46" i="288"/>
  <c r="D46" i="291"/>
  <c r="D46" i="287"/>
  <c r="D46" i="289"/>
  <c r="D46" i="286"/>
  <c r="D46" i="281"/>
  <c r="D46" i="283"/>
  <c r="D46" i="284"/>
  <c r="D46" i="290"/>
  <c r="D46" i="285"/>
  <c r="D33" i="283"/>
  <c r="D33" i="285"/>
  <c r="D33" i="291"/>
  <c r="D33" i="289"/>
  <c r="D33" i="284"/>
  <c r="D33" i="286"/>
  <c r="D33" i="282"/>
  <c r="D33" i="290"/>
  <c r="D33" i="281"/>
  <c r="D33" i="288"/>
  <c r="D33" i="287"/>
  <c r="D22" i="286"/>
  <c r="D22" i="291"/>
  <c r="D22" i="290"/>
  <c r="D22" i="288"/>
  <c r="D22" i="287"/>
  <c r="D22" i="281"/>
  <c r="D22" i="283"/>
  <c r="D22" i="289"/>
  <c r="D22" i="282"/>
  <c r="D22" i="284"/>
  <c r="D22" i="285"/>
  <c r="D8" i="285"/>
  <c r="D8" i="281"/>
  <c r="D8" i="288"/>
  <c r="D8" i="283"/>
  <c r="D8" i="290"/>
  <c r="D8" i="286"/>
  <c r="D8" i="289"/>
  <c r="D8" i="291"/>
  <c r="D8" i="282"/>
  <c r="D8" i="284"/>
  <c r="D8" i="287"/>
  <c r="D30" i="283"/>
  <c r="D30" i="285"/>
  <c r="D30" i="282"/>
  <c r="D30" i="291"/>
  <c r="D30" i="290"/>
  <c r="D30" i="281"/>
  <c r="D30" i="286"/>
  <c r="D30" i="288"/>
  <c r="D30" i="287"/>
  <c r="D30" i="289"/>
  <c r="D30" i="284"/>
  <c r="D45" i="281"/>
  <c r="D45" i="288"/>
  <c r="D45" i="287"/>
  <c r="D45" i="283"/>
  <c r="D45" i="284"/>
  <c r="D45" i="291"/>
  <c r="D45" i="289"/>
  <c r="D45" i="282"/>
  <c r="D45" i="290"/>
  <c r="D45" i="286"/>
  <c r="D45" i="285"/>
  <c r="D32" i="290"/>
  <c r="D32" i="281"/>
  <c r="D32" i="291"/>
  <c r="D32" i="283"/>
  <c r="D32" i="288"/>
  <c r="D32" i="286"/>
  <c r="D32" i="287"/>
  <c r="D32" i="282"/>
  <c r="D32" i="285"/>
  <c r="D32" i="284"/>
  <c r="D32" i="289"/>
  <c r="D6" i="289"/>
  <c r="D6" i="287"/>
  <c r="D6" i="284"/>
  <c r="D6" i="285"/>
  <c r="D6" i="291"/>
  <c r="D6" i="282"/>
  <c r="D6" i="288"/>
  <c r="D6" i="281"/>
  <c r="D6" i="286"/>
  <c r="D6" i="283"/>
  <c r="D6" i="290"/>
  <c r="AD56" i="291"/>
  <c r="AD56" i="281"/>
  <c r="AD56" i="289"/>
  <c r="AD56" i="287"/>
  <c r="AD56" i="288"/>
  <c r="AD56" i="284"/>
  <c r="AD56" i="283"/>
  <c r="AD56" i="286"/>
  <c r="AD56" i="285"/>
  <c r="AD56" i="290"/>
  <c r="AD56" i="282"/>
  <c r="D44" i="291"/>
  <c r="D44" i="288"/>
  <c r="D44" i="284"/>
  <c r="D44" i="282"/>
  <c r="D44" i="289"/>
  <c r="D44" i="290"/>
  <c r="D44" i="281"/>
  <c r="D44" i="283"/>
  <c r="D44" i="285"/>
  <c r="D44" i="286"/>
  <c r="D44" i="287"/>
  <c r="D31" i="281"/>
  <c r="D31" i="283"/>
  <c r="D31" i="285"/>
  <c r="D31" i="290"/>
  <c r="D31" i="288"/>
  <c r="D31" i="282"/>
  <c r="D31" i="284"/>
  <c r="D31" i="291"/>
  <c r="D31" i="289"/>
  <c r="D31" i="287"/>
  <c r="D31" i="286"/>
  <c r="D21" i="287"/>
  <c r="D21" i="286"/>
  <c r="D21" i="283"/>
  <c r="D21" i="284"/>
  <c r="D21" i="282"/>
  <c r="D21" i="288"/>
  <c r="D21" i="281"/>
  <c r="D21" i="285"/>
  <c r="D21" i="290"/>
  <c r="D21" i="289"/>
  <c r="D21" i="291"/>
  <c r="D48" i="282"/>
  <c r="D48" i="283"/>
  <c r="D48" i="287"/>
  <c r="D48" i="285"/>
  <c r="D48" i="281"/>
  <c r="D48" i="286"/>
  <c r="D48" i="289"/>
  <c r="D48" i="288"/>
  <c r="D48" i="290"/>
  <c r="D48" i="291"/>
  <c r="D48" i="284"/>
  <c r="D36" i="289"/>
  <c r="D36" i="282"/>
  <c r="D36" i="291"/>
  <c r="D36" i="290"/>
  <c r="D36" i="281"/>
  <c r="D36" i="286"/>
  <c r="D36" i="283"/>
  <c r="D36" i="287"/>
  <c r="D36" i="284"/>
  <c r="D36" i="285"/>
  <c r="D36" i="288"/>
  <c r="P56" i="287"/>
  <c r="P56" i="291"/>
  <c r="P56" i="281"/>
  <c r="P56" i="285"/>
  <c r="P56" i="284"/>
  <c r="P56" i="288"/>
  <c r="P56" i="282"/>
  <c r="P56" i="286"/>
  <c r="P56" i="290"/>
  <c r="P56" i="283"/>
  <c r="P56" i="289"/>
  <c r="D43" i="286"/>
  <c r="D43" i="291"/>
  <c r="D43" i="281"/>
  <c r="D43" i="290"/>
  <c r="D43" i="287"/>
  <c r="D43" i="283"/>
  <c r="D43" i="288"/>
  <c r="D43" i="285"/>
  <c r="D43" i="282"/>
  <c r="D43" i="284"/>
  <c r="D43" i="289"/>
  <c r="D20" i="291"/>
  <c r="D20" i="281"/>
  <c r="D20" i="286"/>
  <c r="D20" i="289"/>
  <c r="D20" i="288"/>
  <c r="D20" i="287"/>
  <c r="D20" i="282"/>
  <c r="D20" i="284"/>
  <c r="D20" i="290"/>
  <c r="D20" i="285"/>
  <c r="D20" i="283"/>
  <c r="F12" i="285"/>
  <c r="F12" i="290"/>
  <c r="F12" i="286"/>
  <c r="F12" i="288"/>
  <c r="F12" i="281"/>
  <c r="F12" i="283"/>
  <c r="F12" i="282"/>
  <c r="F12" i="284"/>
  <c r="F12" i="289"/>
  <c r="F12" i="287"/>
  <c r="F12" i="291"/>
  <c r="D25" i="291"/>
  <c r="D25" i="284"/>
  <c r="D25" i="288"/>
  <c r="D25" i="285"/>
  <c r="D25" i="282"/>
  <c r="D25" i="289"/>
  <c r="D25" i="283"/>
  <c r="D25" i="287"/>
  <c r="D25" i="290"/>
  <c r="D25" i="281"/>
  <c r="D25" i="286"/>
  <c r="F56" i="287"/>
  <c r="F56" i="289"/>
  <c r="F56" i="284"/>
  <c r="F56" i="282"/>
  <c r="F56" i="288"/>
  <c r="F56" i="285"/>
  <c r="F56" i="283"/>
  <c r="F56" i="286"/>
  <c r="F56" i="281"/>
  <c r="F56" i="291"/>
  <c r="F56" i="290"/>
  <c r="D42" i="286"/>
  <c r="D42" i="288"/>
  <c r="D42" i="287"/>
  <c r="D42" i="290"/>
  <c r="D42" i="284"/>
  <c r="D42" i="282"/>
  <c r="D42" i="285"/>
  <c r="D42" i="283"/>
  <c r="D42" i="289"/>
  <c r="D42" i="281"/>
  <c r="D42" i="291"/>
  <c r="D18" i="282"/>
  <c r="D18" i="290"/>
  <c r="D18" i="291"/>
  <c r="D18" i="286"/>
  <c r="D18" i="284"/>
  <c r="D18" i="281"/>
  <c r="D18" i="288"/>
  <c r="D18" i="289"/>
  <c r="D18" i="285"/>
  <c r="D18" i="287"/>
  <c r="D18" i="283"/>
  <c r="L19" i="282"/>
  <c r="L19" i="281"/>
  <c r="L19" i="285"/>
  <c r="L19" i="283"/>
  <c r="S19" i="291"/>
  <c r="L19" i="284"/>
  <c r="M19" i="285"/>
  <c r="N19" i="289"/>
  <c r="M19" i="291"/>
  <c r="M19" i="281"/>
  <c r="O19" i="290"/>
  <c r="M19" i="283"/>
  <c r="M19" i="284"/>
  <c r="M19" i="282"/>
  <c r="O19" i="288"/>
  <c r="O19" i="287"/>
  <c r="N19" i="285"/>
  <c r="N19" i="283"/>
  <c r="P19" i="289"/>
  <c r="P19" i="288"/>
  <c r="O19" i="284"/>
  <c r="P19" i="287"/>
  <c r="O19" i="281"/>
  <c r="N19" i="291"/>
  <c r="F19" i="291"/>
  <c r="O19" i="289"/>
  <c r="N19" i="286"/>
  <c r="N19" i="284"/>
  <c r="N19" i="282"/>
  <c r="N19" i="281"/>
  <c r="O19" i="286"/>
  <c r="P19" i="290"/>
  <c r="Q19" i="288"/>
  <c r="Q19" i="289"/>
  <c r="Q19" i="287"/>
  <c r="P19" i="285"/>
  <c r="O19" i="283"/>
  <c r="P19" i="282"/>
  <c r="O19" i="282"/>
  <c r="O19" i="291"/>
  <c r="O19" i="285"/>
  <c r="P19" i="283"/>
  <c r="P19" i="291"/>
  <c r="Q19" i="291"/>
  <c r="R19" i="290"/>
  <c r="R19" i="289"/>
  <c r="R19" i="288"/>
  <c r="Q19" i="285"/>
  <c r="Q19" i="290"/>
  <c r="P19" i="286"/>
  <c r="P19" i="284"/>
  <c r="P19" i="281"/>
  <c r="T19" i="288"/>
  <c r="R19" i="281"/>
  <c r="R19" i="282"/>
  <c r="R19" i="283"/>
  <c r="R19" i="287"/>
  <c r="R19" i="284"/>
  <c r="Q19" i="286"/>
  <c r="S19" i="287"/>
  <c r="Q19" i="284"/>
  <c r="Q19" i="282"/>
  <c r="Q19" i="281"/>
  <c r="Q19" i="283"/>
  <c r="R19" i="291"/>
  <c r="S19" i="290"/>
  <c r="S19" i="289"/>
  <c r="S19" i="288"/>
  <c r="R19" i="286"/>
  <c r="R19" i="285"/>
  <c r="F19" i="290"/>
  <c r="G19" i="289"/>
  <c r="F19" i="289"/>
  <c r="G19" i="287"/>
  <c r="G19" i="291"/>
  <c r="G19" i="284"/>
  <c r="F19" i="285"/>
  <c r="G19" i="285"/>
  <c r="F19" i="284"/>
  <c r="F19" i="283"/>
  <c r="G19" i="283"/>
  <c r="F19" i="282"/>
  <c r="G19" i="282"/>
  <c r="F19" i="281"/>
  <c r="G19" i="281"/>
  <c r="G19" i="290"/>
  <c r="G19" i="288"/>
  <c r="F19" i="288"/>
  <c r="F19" i="287"/>
  <c r="G19" i="286"/>
  <c r="L19" i="288"/>
  <c r="H19" i="289"/>
  <c r="H19" i="288"/>
  <c r="F19" i="286"/>
  <c r="H19" i="290"/>
  <c r="I19" i="287"/>
  <c r="H19" i="282"/>
  <c r="H19" i="287"/>
  <c r="H19" i="281"/>
  <c r="I19" i="289"/>
  <c r="H19" i="291"/>
  <c r="I19" i="290"/>
  <c r="I19" i="288"/>
  <c r="H19" i="286"/>
  <c r="H19" i="285"/>
  <c r="J19" i="289"/>
  <c r="J19" i="287"/>
  <c r="I19" i="286"/>
  <c r="I19" i="282"/>
  <c r="H19" i="284"/>
  <c r="H19" i="283"/>
  <c r="I19" i="291"/>
  <c r="J19" i="290"/>
  <c r="I19" i="284"/>
  <c r="J19" i="288"/>
  <c r="I19" i="285"/>
  <c r="K19" i="287"/>
  <c r="J19" i="281"/>
  <c r="I19" i="283"/>
  <c r="I19" i="281"/>
  <c r="J19" i="286"/>
  <c r="K19" i="288"/>
  <c r="K19" i="290"/>
  <c r="K19" i="289"/>
  <c r="J19" i="283"/>
  <c r="L19" i="290"/>
  <c r="L19" i="287"/>
  <c r="K19" i="286"/>
  <c r="K19" i="285"/>
  <c r="J19" i="291"/>
  <c r="J19" i="285"/>
  <c r="J19" i="284"/>
  <c r="J19" i="282"/>
  <c r="K19" i="291"/>
  <c r="L19" i="289"/>
  <c r="M19" i="290"/>
  <c r="K19" i="284"/>
  <c r="L19" i="286"/>
  <c r="K19" i="283"/>
  <c r="K19" i="281"/>
  <c r="M19" i="288"/>
  <c r="K19" i="282"/>
  <c r="L19" i="291"/>
  <c r="M19" i="287"/>
  <c r="M19" i="289"/>
  <c r="N19" i="290"/>
  <c r="N19" i="287"/>
  <c r="N19" i="288"/>
  <c r="M19" i="286"/>
  <c r="AG5" i="282"/>
  <c r="AG5" i="288"/>
  <c r="AG5" i="286"/>
  <c r="AG5" i="284"/>
  <c r="AG5" i="289"/>
  <c r="AG5" i="287"/>
  <c r="AG5" i="285"/>
  <c r="AG5" i="281"/>
  <c r="AG5" i="291"/>
  <c r="AG5" i="283"/>
  <c r="AG5" i="290"/>
  <c r="D37" i="285"/>
  <c r="D37" i="290"/>
  <c r="D37" i="289"/>
  <c r="D37" i="291"/>
  <c r="D37" i="288"/>
  <c r="D37" i="282"/>
  <c r="D37" i="281"/>
  <c r="D37" i="286"/>
  <c r="D37" i="287"/>
  <c r="D37" i="284"/>
  <c r="D37" i="283"/>
  <c r="Y6" i="288"/>
  <c r="Y6" i="291"/>
  <c r="Y6" i="281"/>
  <c r="Y6" i="285"/>
  <c r="Y6" i="290"/>
  <c r="Y6" i="287"/>
  <c r="Y6" i="283"/>
  <c r="Y6" i="282"/>
  <c r="Y6" i="289"/>
  <c r="Y6" i="286"/>
  <c r="Y6" i="284"/>
  <c r="D26" i="288"/>
  <c r="D26" i="281"/>
  <c r="D26" i="287"/>
  <c r="D26" i="290"/>
  <c r="D26" i="282"/>
  <c r="D26" i="289"/>
  <c r="D26" i="285"/>
  <c r="D26" i="283"/>
  <c r="D26" i="286"/>
  <c r="D26" i="284"/>
  <c r="D26" i="291"/>
  <c r="D56" i="288"/>
  <c r="D56" i="289"/>
  <c r="D56" i="284"/>
  <c r="D56" i="290"/>
  <c r="D56" i="283"/>
  <c r="D56" i="285"/>
  <c r="D56" i="287"/>
  <c r="D56" i="282"/>
  <c r="D56" i="291"/>
  <c r="D56" i="281"/>
  <c r="D56" i="286"/>
  <c r="D41" i="282"/>
  <c r="D41" i="288"/>
  <c r="D41" i="289"/>
  <c r="D41" i="291"/>
  <c r="D41" i="281"/>
  <c r="D41" i="287"/>
  <c r="D41" i="284"/>
  <c r="D41" i="285"/>
  <c r="D41" i="286"/>
  <c r="D41" i="290"/>
  <c r="D41" i="283"/>
  <c r="D53" i="282"/>
  <c r="D53" i="287"/>
  <c r="D53" i="285"/>
  <c r="D53" i="288"/>
  <c r="D53" i="289"/>
  <c r="D53" i="286"/>
  <c r="D53" i="283"/>
  <c r="D53" i="281"/>
  <c r="D53" i="284"/>
  <c r="D53" i="290"/>
  <c r="D53" i="291"/>
  <c r="D40" i="288"/>
  <c r="D40" i="287"/>
  <c r="D40" i="282"/>
  <c r="D40" i="291"/>
  <c r="D40" i="285"/>
  <c r="D40" i="284"/>
  <c r="D40" i="281"/>
  <c r="D40" i="290"/>
  <c r="D40" i="286"/>
  <c r="D40" i="289"/>
  <c r="D40" i="283"/>
  <c r="AF64" i="291"/>
  <c r="AF64" i="286"/>
  <c r="AF64" i="290"/>
  <c r="AF64" i="283"/>
  <c r="AF64" i="284"/>
  <c r="AF64" i="282"/>
  <c r="AF64" i="281"/>
  <c r="AF64" i="288"/>
  <c r="AF64" i="289"/>
  <c r="AF64" i="287"/>
  <c r="AF64" i="285"/>
  <c r="AD22" i="139"/>
  <c r="D25" i="135"/>
  <c r="C12" i="139"/>
  <c r="D26" i="135"/>
  <c r="G6" i="138"/>
  <c r="D45" i="144"/>
  <c r="AA8" i="138"/>
  <c r="G8" i="138"/>
  <c r="G9" i="138"/>
  <c r="Q8" i="138"/>
  <c r="Z22" i="139"/>
  <c r="AB22" i="139"/>
  <c r="V22" i="139"/>
  <c r="X22" i="139"/>
  <c r="R22" i="139"/>
  <c r="T22" i="139"/>
  <c r="N22" i="139"/>
  <c r="P22" i="139"/>
  <c r="L22" i="139"/>
  <c r="D44" i="135"/>
  <c r="D48" i="135"/>
  <c r="D49" i="135"/>
  <c r="D43" i="135"/>
  <c r="D51" i="135"/>
  <c r="D50" i="135"/>
  <c r="D46" i="135"/>
  <c r="D45" i="135"/>
  <c r="D47" i="135"/>
  <c r="B26" i="139"/>
  <c r="Z32" i="139"/>
  <c r="F11" i="144"/>
  <c r="T10" i="139"/>
  <c r="P10" i="139"/>
  <c r="R10" i="139"/>
  <c r="V10" i="139"/>
  <c r="AD10" i="139"/>
  <c r="AB10" i="139"/>
  <c r="Z10" i="139"/>
  <c r="N10" i="139"/>
  <c r="J10" i="139"/>
  <c r="L10" i="139"/>
  <c r="X10" i="139"/>
  <c r="F10" i="144" a="1"/>
  <c r="U19" i="288" l="1"/>
  <c r="U19" i="287"/>
  <c r="T19" i="285"/>
  <c r="T19" i="282"/>
  <c r="T29" i="282" a="1"/>
  <c r="T29" i="282" s="1"/>
  <c r="U19" i="289"/>
  <c r="U29" i="289" a="1"/>
  <c r="U29" i="289" s="1"/>
  <c r="T15" i="291"/>
  <c r="U18" i="291"/>
  <c r="U29" i="291" a="1"/>
  <c r="U29" i="291" s="1"/>
  <c r="V14" i="291"/>
  <c r="V17" i="291"/>
  <c r="W16" i="291"/>
  <c r="U15" i="290"/>
  <c r="V18" i="290"/>
  <c r="W17" i="290"/>
  <c r="W14" i="290"/>
  <c r="X16" i="290"/>
  <c r="U15" i="289"/>
  <c r="V18" i="289"/>
  <c r="W14" i="289"/>
  <c r="X16" i="289"/>
  <c r="W17" i="289"/>
  <c r="U15" i="288"/>
  <c r="V18" i="288"/>
  <c r="W14" i="288"/>
  <c r="X16" i="288"/>
  <c r="W17" i="288"/>
  <c r="U15" i="287"/>
  <c r="V18" i="287"/>
  <c r="W14" i="287"/>
  <c r="X16" i="287"/>
  <c r="W17" i="287"/>
  <c r="T15" i="286"/>
  <c r="U18" i="286"/>
  <c r="U29" i="286" s="1" a="1"/>
  <c r="U29" i="286" s="1"/>
  <c r="U19" i="286"/>
  <c r="V14" i="286"/>
  <c r="W16" i="286"/>
  <c r="V17" i="286"/>
  <c r="T15" i="285"/>
  <c r="U18" i="285"/>
  <c r="V14" i="285"/>
  <c r="W16" i="285"/>
  <c r="V17" i="285"/>
  <c r="T15" i="284"/>
  <c r="U18" i="284"/>
  <c r="V14" i="284"/>
  <c r="W16" i="284"/>
  <c r="V17" i="284"/>
  <c r="T15" i="283"/>
  <c r="U18" i="283"/>
  <c r="V14" i="283"/>
  <c r="W16" i="283"/>
  <c r="V17" i="283"/>
  <c r="T15" i="282"/>
  <c r="U18" i="282"/>
  <c r="U29" i="282" a="1"/>
  <c r="U29" i="282" s="1"/>
  <c r="U19" i="282"/>
  <c r="V14" i="282"/>
  <c r="W16" i="282"/>
  <c r="V17" i="282"/>
  <c r="T15" i="281"/>
  <c r="U18" i="281"/>
  <c r="V14" i="281"/>
  <c r="W16" i="281"/>
  <c r="V17" i="281"/>
  <c r="T29" i="291" a="1"/>
  <c r="T29" i="291" s="1"/>
  <c r="T19" i="291"/>
  <c r="T29" i="284" a="1"/>
  <c r="T29" i="284" s="1"/>
  <c r="T19" i="284"/>
  <c r="T29" i="283" a="1"/>
  <c r="T29" i="283" s="1"/>
  <c r="T19" i="283"/>
  <c r="T19" i="281"/>
  <c r="T29" i="281" a="1"/>
  <c r="T29" i="281" s="1"/>
  <c r="F8" i="291"/>
  <c r="F8" i="290"/>
  <c r="F8" i="289"/>
  <c r="F8" i="288"/>
  <c r="F8" i="286"/>
  <c r="F8" i="285"/>
  <c r="F8" i="284"/>
  <c r="F8" i="283"/>
  <c r="F8" i="282"/>
  <c r="F8" i="281"/>
  <c r="F8" i="287"/>
  <c r="F9" i="144"/>
  <c r="B4" i="139"/>
  <c r="T62" i="144"/>
  <c r="U62" i="144" s="1"/>
  <c r="S62" i="144"/>
  <c r="T63" i="144"/>
  <c r="T71" i="144"/>
  <c r="U71" i="144" s="1"/>
  <c r="T64" i="144"/>
  <c r="U64" i="144" s="1"/>
  <c r="T72" i="144"/>
  <c r="U72" i="144" s="1"/>
  <c r="T65" i="144"/>
  <c r="U65" i="144" s="1"/>
  <c r="T66" i="144"/>
  <c r="T67" i="144"/>
  <c r="U67" i="144" s="1"/>
  <c r="T73" i="144"/>
  <c r="U73" i="144" s="1"/>
  <c r="T68" i="144"/>
  <c r="T69" i="144"/>
  <c r="T70" i="144"/>
  <c r="U70" i="144" s="1"/>
  <c r="S67" i="144"/>
  <c r="S68" i="144"/>
  <c r="S69" i="144"/>
  <c r="S70" i="144"/>
  <c r="S71" i="144"/>
  <c r="S72" i="144"/>
  <c r="S64" i="144"/>
  <c r="S63" i="144"/>
  <c r="S65" i="144"/>
  <c r="S66" i="144"/>
  <c r="S73" i="144"/>
  <c r="F10" i="144"/>
  <c r="K34" i="144" s="1" a="1"/>
  <c r="K34" i="144" s="1"/>
  <c r="L34" i="144" s="1" a="1"/>
  <c r="L34" i="144" s="1"/>
  <c r="Q62" i="144"/>
  <c r="Q70" i="144"/>
  <c r="Q64" i="144"/>
  <c r="Q73" i="144"/>
  <c r="Q72" i="144"/>
  <c r="H45" i="144"/>
  <c r="L48" i="144" s="1"/>
  <c r="H46" i="144"/>
  <c r="D49" i="144"/>
  <c r="Q71" i="144"/>
  <c r="Q63" i="144"/>
  <c r="Q65" i="144"/>
  <c r="Q67" i="144"/>
  <c r="Q66" i="144"/>
  <c r="Q69" i="144"/>
  <c r="Q68" i="144"/>
  <c r="D48" i="144"/>
  <c r="V193" i="145"/>
  <c r="AF22" i="139" s="1"/>
  <c r="H46" i="139" s="1"/>
  <c r="V46" i="139" s="1"/>
  <c r="J22" i="139"/>
  <c r="U19" i="291" l="1"/>
  <c r="V19" i="290"/>
  <c r="V19" i="289"/>
  <c r="V19" i="287"/>
  <c r="U29" i="284" a="1"/>
  <c r="U29" i="284" s="1"/>
  <c r="U19" i="284"/>
  <c r="U15" i="291"/>
  <c r="V18" i="291"/>
  <c r="W14" i="291"/>
  <c r="X16" i="291"/>
  <c r="W17" i="291"/>
  <c r="V15" i="290"/>
  <c r="W18" i="290"/>
  <c r="W29" i="290" a="1"/>
  <c r="W29" i="290" s="1"/>
  <c r="W19" i="290"/>
  <c r="Y16" i="290"/>
  <c r="X14" i="290"/>
  <c r="X17" i="290"/>
  <c r="V15" i="289"/>
  <c r="W18" i="289"/>
  <c r="W19" i="289"/>
  <c r="X14" i="289"/>
  <c r="Y16" i="289"/>
  <c r="X17" i="289"/>
  <c r="V15" i="288"/>
  <c r="W18" i="288"/>
  <c r="X14" i="288"/>
  <c r="Y16" i="288"/>
  <c r="X17" i="288"/>
  <c r="V15" i="287"/>
  <c r="W18" i="287"/>
  <c r="X14" i="287"/>
  <c r="Y16" i="287"/>
  <c r="X17" i="287"/>
  <c r="U15" i="286"/>
  <c r="V18" i="286"/>
  <c r="W14" i="286"/>
  <c r="W17" i="286"/>
  <c r="X16" i="286"/>
  <c r="U15" i="285"/>
  <c r="V18" i="285"/>
  <c r="V19" i="285" s="1"/>
  <c r="W14" i="285"/>
  <c r="X16" i="285"/>
  <c r="W17" i="285"/>
  <c r="U15" i="284"/>
  <c r="V18" i="284"/>
  <c r="W14" i="284"/>
  <c r="X16" i="284"/>
  <c r="W17" i="284"/>
  <c r="U15" i="283"/>
  <c r="V18" i="283"/>
  <c r="W14" i="283"/>
  <c r="X16" i="283"/>
  <c r="W17" i="283"/>
  <c r="U15" i="282"/>
  <c r="V18" i="282"/>
  <c r="W14" i="282"/>
  <c r="X16" i="282"/>
  <c r="W17" i="282"/>
  <c r="U15" i="281"/>
  <c r="V18" i="281"/>
  <c r="W14" i="281"/>
  <c r="X16" i="281"/>
  <c r="W17" i="281"/>
  <c r="V19" i="288"/>
  <c r="U19" i="285"/>
  <c r="U29" i="285" a="1"/>
  <c r="U29" i="285" s="1"/>
  <c r="U29" i="283" a="1"/>
  <c r="U29" i="283" s="1"/>
  <c r="U19" i="283"/>
  <c r="U29" i="281" a="1"/>
  <c r="U29" i="281" s="1"/>
  <c r="U19" i="281"/>
  <c r="U63" i="144"/>
  <c r="U69" i="144"/>
  <c r="U68" i="144"/>
  <c r="U66" i="144"/>
  <c r="O64" i="144" a="1"/>
  <c r="O64" i="144" s="1"/>
  <c r="P64" i="144" s="1" a="1"/>
  <c r="P64" i="144" s="1"/>
  <c r="O71" i="144" a="1"/>
  <c r="O71" i="144" s="1"/>
  <c r="P71" i="144" s="1" a="1"/>
  <c r="P71" i="144" s="1"/>
  <c r="O68" i="144" a="1"/>
  <c r="O68" i="144" s="1"/>
  <c r="P68" i="144" s="1" a="1"/>
  <c r="P68" i="144" s="1"/>
  <c r="O73" i="144" a="1"/>
  <c r="O73" i="144" s="1"/>
  <c r="P73" i="144" s="1" a="1"/>
  <c r="P73" i="144" s="1"/>
  <c r="O66" i="144" a="1"/>
  <c r="O66" i="144" s="1"/>
  <c r="P66" i="144" s="1" a="1"/>
  <c r="P66" i="144" s="1"/>
  <c r="O70" i="144" a="1"/>
  <c r="O70" i="144" s="1"/>
  <c r="P70" i="144" s="1" a="1"/>
  <c r="P70" i="144" s="1"/>
  <c r="O69" i="144" a="1"/>
  <c r="O69" i="144" s="1"/>
  <c r="P69" i="144" s="1" a="1"/>
  <c r="P69" i="144" s="1"/>
  <c r="K33" i="144" a="1"/>
  <c r="K33" i="144" s="1"/>
  <c r="L33" i="144" s="1" a="1"/>
  <c r="L33" i="144" s="1"/>
  <c r="M10" i="144"/>
  <c r="O65" i="144" a="1"/>
  <c r="O65" i="144" s="1"/>
  <c r="P65" i="144" s="1" a="1"/>
  <c r="P65" i="144" s="1"/>
  <c r="K36" i="144"/>
  <c r="M34" i="144" s="1"/>
  <c r="O67" i="144" a="1"/>
  <c r="O67" i="144" s="1"/>
  <c r="P67" i="144" s="1" a="1"/>
  <c r="P67" i="144" s="1"/>
  <c r="O72" i="144" a="1"/>
  <c r="O72" i="144" s="1"/>
  <c r="P72" i="144" s="1" a="1"/>
  <c r="P72" i="144" s="1"/>
  <c r="O63" i="144" a="1"/>
  <c r="O63" i="144" s="1"/>
  <c r="P63" i="144" s="1" a="1"/>
  <c r="P63" i="144" s="1"/>
  <c r="O62" i="144" a="1"/>
  <c r="O62" i="144" s="1"/>
  <c r="P62" i="144" s="1" a="1"/>
  <c r="P62" i="144" s="1"/>
  <c r="L45" i="144"/>
  <c r="L49" i="144"/>
  <c r="H49" i="144"/>
  <c r="H48" i="144"/>
  <c r="W19" i="287" l="1"/>
  <c r="W29" i="287" a="1"/>
  <c r="W29" i="287" s="1"/>
  <c r="V19" i="286"/>
  <c r="V15" i="291"/>
  <c r="W18" i="291"/>
  <c r="X14" i="291"/>
  <c r="Y16" i="291"/>
  <c r="X17" i="291"/>
  <c r="Y17" i="290"/>
  <c r="Y14" i="290"/>
  <c r="Z16" i="290"/>
  <c r="W15" i="290"/>
  <c r="X18" i="290"/>
  <c r="W15" i="289"/>
  <c r="X18" i="289"/>
  <c r="Y14" i="289"/>
  <c r="Z16" i="289"/>
  <c r="Y17" i="289"/>
  <c r="W15" i="288"/>
  <c r="X18" i="288"/>
  <c r="X19" i="288"/>
  <c r="X29" i="288" a="1"/>
  <c r="X29" i="288" s="1"/>
  <c r="Y14" i="288"/>
  <c r="Z16" i="288"/>
  <c r="Y17" i="288"/>
  <c r="W15" i="287"/>
  <c r="X18" i="287"/>
  <c r="Y14" i="287"/>
  <c r="Y17" i="287"/>
  <c r="Z16" i="287"/>
  <c r="V15" i="286"/>
  <c r="W18" i="286"/>
  <c r="X14" i="286"/>
  <c r="Y16" i="286"/>
  <c r="X17" i="286"/>
  <c r="V15" i="285"/>
  <c r="W18" i="285"/>
  <c r="X14" i="285"/>
  <c r="Y16" i="285"/>
  <c r="X17" i="285"/>
  <c r="V15" i="284"/>
  <c r="W18" i="284"/>
  <c r="X14" i="284"/>
  <c r="Y16" i="284"/>
  <c r="X17" i="284"/>
  <c r="V15" i="283"/>
  <c r="W18" i="283"/>
  <c r="X14" i="283"/>
  <c r="Y16" i="283"/>
  <c r="X17" i="283"/>
  <c r="V15" i="282"/>
  <c r="W18" i="282"/>
  <c r="W19" i="282" s="1"/>
  <c r="W29" i="282" a="1"/>
  <c r="W29" i="282" s="1"/>
  <c r="X14" i="282"/>
  <c r="Y16" i="282"/>
  <c r="X17" i="282"/>
  <c r="V15" i="281"/>
  <c r="W18" i="281"/>
  <c r="X14" i="281"/>
  <c r="Y16" i="281"/>
  <c r="X17" i="281"/>
  <c r="V19" i="291"/>
  <c r="W19" i="288"/>
  <c r="W29" i="288" a="1"/>
  <c r="W29" i="288" s="1"/>
  <c r="V19" i="284"/>
  <c r="V19" i="283"/>
  <c r="V19" i="282"/>
  <c r="V19" i="281"/>
  <c r="M33" i="144"/>
  <c r="M35" i="144" s="1"/>
  <c r="W19" i="286" l="1"/>
  <c r="W15" i="291"/>
  <c r="X18" i="291"/>
  <c r="Y14" i="291"/>
  <c r="Y17" i="291"/>
  <c r="Z16" i="291"/>
  <c r="X15" i="290"/>
  <c r="Y18" i="290"/>
  <c r="Z17" i="290"/>
  <c r="AA16" i="290"/>
  <c r="Z14" i="290"/>
  <c r="X15" i="289"/>
  <c r="Y18" i="289"/>
  <c r="Z14" i="289"/>
  <c r="AA16" i="289"/>
  <c r="Z17" i="289"/>
  <c r="X15" i="288"/>
  <c r="Y18" i="288"/>
  <c r="Y29" i="288" a="1"/>
  <c r="Y29" i="288" s="1"/>
  <c r="Z14" i="288"/>
  <c r="AA16" i="288"/>
  <c r="Z17" i="288"/>
  <c r="X15" i="287"/>
  <c r="Y18" i="287"/>
  <c r="Z14" i="287"/>
  <c r="Z17" i="287"/>
  <c r="AA16" i="287"/>
  <c r="W15" i="286"/>
  <c r="X18" i="286"/>
  <c r="X29" i="286" a="1"/>
  <c r="X29" i="286" s="1"/>
  <c r="Y14" i="286"/>
  <c r="Z16" i="286"/>
  <c r="Y17" i="286"/>
  <c r="W15" i="285"/>
  <c r="X18" i="285"/>
  <c r="X29" i="285" a="1"/>
  <c r="X29" i="285" s="1"/>
  <c r="Y14" i="285"/>
  <c r="Z16" i="285"/>
  <c r="Y17" i="285"/>
  <c r="W15" i="284"/>
  <c r="X18" i="284"/>
  <c r="Y14" i="284"/>
  <c r="Z16" i="284"/>
  <c r="Y17" i="284"/>
  <c r="W15" i="283"/>
  <c r="X18" i="283"/>
  <c r="Y14" i="283"/>
  <c r="Z16" i="283"/>
  <c r="Y17" i="283"/>
  <c r="W15" i="282"/>
  <c r="X18" i="282"/>
  <c r="Y14" i="282"/>
  <c r="Z16" i="282"/>
  <c r="Y17" i="282"/>
  <c r="W15" i="281"/>
  <c r="X18" i="281"/>
  <c r="Y14" i="281"/>
  <c r="Z16" i="281"/>
  <c r="Y17" i="281"/>
  <c r="W29" i="291" a="1"/>
  <c r="W29" i="291" s="1"/>
  <c r="W19" i="291"/>
  <c r="X19" i="290"/>
  <c r="X29" i="290" a="1"/>
  <c r="X29" i="290" s="1"/>
  <c r="X19" i="289"/>
  <c r="X29" i="289" a="1"/>
  <c r="X29" i="289" s="1"/>
  <c r="X19" i="287"/>
  <c r="X29" i="287" a="1"/>
  <c r="X29" i="287" s="1"/>
  <c r="W19" i="285"/>
  <c r="W29" i="285" a="1"/>
  <c r="W29" i="285" s="1"/>
  <c r="W29" i="284" a="1"/>
  <c r="W29" i="284" s="1"/>
  <c r="W19" i="284"/>
  <c r="W19" i="283"/>
  <c r="W29" i="283" a="1"/>
  <c r="W29" i="283" s="1"/>
  <c r="W29" i="281" a="1"/>
  <c r="W29" i="281" s="1"/>
  <c r="W19" i="281"/>
  <c r="Y19" i="288" l="1"/>
  <c r="X19" i="286"/>
  <c r="X19" i="285"/>
  <c r="Y19" i="287"/>
  <c r="Y19" i="289"/>
  <c r="Y29" i="289" a="1"/>
  <c r="Y29" i="289" s="1"/>
  <c r="X19" i="291"/>
  <c r="X29" i="291" a="1"/>
  <c r="X29" i="291" s="1"/>
  <c r="X15" i="291"/>
  <c r="Y18" i="291"/>
  <c r="Z14" i="291"/>
  <c r="Z17" i="291"/>
  <c r="AA16" i="291"/>
  <c r="AB16" i="290"/>
  <c r="AA17" i="290"/>
  <c r="AA14" i="290"/>
  <c r="Y15" i="290"/>
  <c r="Z18" i="290"/>
  <c r="Y15" i="289"/>
  <c r="Z18" i="289"/>
  <c r="Z29" i="289" a="1"/>
  <c r="Z29" i="289" s="1"/>
  <c r="Z19" i="289"/>
  <c r="AA14" i="289"/>
  <c r="AA17" i="289"/>
  <c r="AB16" i="289"/>
  <c r="Y15" i="288"/>
  <c r="Z18" i="288"/>
  <c r="AA14" i="288"/>
  <c r="AB16" i="288"/>
  <c r="AA17" i="288"/>
  <c r="Y15" i="287"/>
  <c r="Z18" i="287"/>
  <c r="AA14" i="287"/>
  <c r="AA17" i="287"/>
  <c r="AB16" i="287"/>
  <c r="X15" i="286"/>
  <c r="Y18" i="286"/>
  <c r="Y29" i="286" a="1"/>
  <c r="Y29" i="286" s="1"/>
  <c r="Z14" i="286"/>
  <c r="AA16" i="286"/>
  <c r="Z17" i="286"/>
  <c r="X15" i="285"/>
  <c r="Y18" i="285"/>
  <c r="Z14" i="285"/>
  <c r="AA16" i="285"/>
  <c r="Z17" i="285"/>
  <c r="X15" i="284"/>
  <c r="Y18" i="284"/>
  <c r="Z14" i="284"/>
  <c r="AA16" i="284"/>
  <c r="Z17" i="284"/>
  <c r="X15" i="283"/>
  <c r="Y18" i="283"/>
  <c r="Z14" i="283"/>
  <c r="AA16" i="283"/>
  <c r="Z17" i="283"/>
  <c r="X15" i="282"/>
  <c r="Y18" i="282"/>
  <c r="Z14" i="282"/>
  <c r="AA16" i="282"/>
  <c r="Z17" i="282"/>
  <c r="X15" i="281"/>
  <c r="Y18" i="281"/>
  <c r="Z14" i="281"/>
  <c r="AA16" i="281"/>
  <c r="Z17" i="281"/>
  <c r="Y29" i="290" a="1"/>
  <c r="Y29" i="290" s="1"/>
  <c r="Y19" i="290"/>
  <c r="X19" i="284"/>
  <c r="X29" i="283" a="1"/>
  <c r="X29" i="283" s="1"/>
  <c r="X19" i="283"/>
  <c r="X19" i="282"/>
  <c r="X29" i="282" a="1"/>
  <c r="X29" i="282" s="1"/>
  <c r="X19" i="281"/>
  <c r="Z19" i="290" l="1"/>
  <c r="Z19" i="288"/>
  <c r="Z29" i="288" a="1"/>
  <c r="Z29" i="288" s="1"/>
  <c r="Y19" i="286"/>
  <c r="Y15" i="291"/>
  <c r="Z18" i="291"/>
  <c r="AA14" i="291"/>
  <c r="AB16" i="291"/>
  <c r="AA17" i="291"/>
  <c r="AB14" i="290"/>
  <c r="AC16" i="290"/>
  <c r="AB17" i="290"/>
  <c r="Z15" i="290"/>
  <c r="AA18" i="290"/>
  <c r="AA29" i="290" a="1"/>
  <c r="AA29" i="290" s="1"/>
  <c r="Z15" i="289"/>
  <c r="AA18" i="289"/>
  <c r="AB14" i="289"/>
  <c r="AC16" i="289"/>
  <c r="AB17" i="289"/>
  <c r="Z15" i="288"/>
  <c r="AA18" i="288"/>
  <c r="AA29" i="288" a="1"/>
  <c r="AA29" i="288" s="1"/>
  <c r="AB14" i="288"/>
  <c r="AC16" i="288"/>
  <c r="AB17" i="288"/>
  <c r="Z15" i="287"/>
  <c r="AA18" i="287"/>
  <c r="AA29" i="287" a="1"/>
  <c r="AA29" i="287" s="1"/>
  <c r="AB14" i="287"/>
  <c r="AC16" i="287"/>
  <c r="AB17" i="287"/>
  <c r="Y15" i="286"/>
  <c r="Z18" i="286"/>
  <c r="Z19" i="286"/>
  <c r="Z29" i="286" a="1"/>
  <c r="Z29" i="286" s="1"/>
  <c r="AA14" i="286"/>
  <c r="AB16" i="286"/>
  <c r="AA17" i="286"/>
  <c r="Y15" i="285"/>
  <c r="Z18" i="285"/>
  <c r="AA14" i="285"/>
  <c r="AB16" i="285"/>
  <c r="AA17" i="285"/>
  <c r="Y15" i="284"/>
  <c r="Z18" i="284"/>
  <c r="AA14" i="284"/>
  <c r="AB16" i="284"/>
  <c r="AA17" i="284"/>
  <c r="Y15" i="283"/>
  <c r="Z18" i="283"/>
  <c r="AA14" i="283"/>
  <c r="AB16" i="283"/>
  <c r="AA17" i="283"/>
  <c r="Y15" i="282"/>
  <c r="Z18" i="282"/>
  <c r="AA14" i="282"/>
  <c r="AB16" i="282"/>
  <c r="AA17" i="282"/>
  <c r="Y15" i="281"/>
  <c r="Z18" i="281"/>
  <c r="Z19" i="281"/>
  <c r="AA14" i="281"/>
  <c r="AB16" i="281"/>
  <c r="AA17" i="281"/>
  <c r="Y29" i="291" a="1"/>
  <c r="Y29" i="291" s="1"/>
  <c r="Y19" i="291"/>
  <c r="Z19" i="287"/>
  <c r="Z29" i="287" a="1"/>
  <c r="Z29" i="287" s="1"/>
  <c r="Y19" i="285"/>
  <c r="Y29" i="285" a="1"/>
  <c r="Y29" i="285" s="1"/>
  <c r="Y29" i="284" a="1"/>
  <c r="Y29" i="284" s="1"/>
  <c r="Y19" i="284"/>
  <c r="Y29" i="283" a="1"/>
  <c r="Y29" i="283" s="1"/>
  <c r="Y19" i="283"/>
  <c r="Y19" i="282"/>
  <c r="Y29" i="282" a="1"/>
  <c r="Y29" i="282" s="1"/>
  <c r="Y29" i="281" a="1"/>
  <c r="Y29" i="281" s="1"/>
  <c r="Y19" i="281"/>
  <c r="Z19" i="291" l="1"/>
  <c r="AA19" i="290"/>
  <c r="AA19" i="288"/>
  <c r="AA19" i="287"/>
  <c r="Z29" i="281" a="1"/>
  <c r="Z29" i="281" s="1"/>
  <c r="Z29" i="285" a="1"/>
  <c r="Z29" i="285" s="1"/>
  <c r="Z19" i="285"/>
  <c r="Z15" i="291"/>
  <c r="AA18" i="291"/>
  <c r="AB14" i="291"/>
  <c r="AC16" i="291"/>
  <c r="AB17" i="291"/>
  <c r="AA15" i="290"/>
  <c r="AB18" i="290"/>
  <c r="AC17" i="290"/>
  <c r="AC14" i="290"/>
  <c r="AD16" i="290"/>
  <c r="AA15" i="289"/>
  <c r="AB18" i="289"/>
  <c r="AD16" i="289"/>
  <c r="AC17" i="289"/>
  <c r="AC14" i="289"/>
  <c r="AA15" i="288"/>
  <c r="AB18" i="288"/>
  <c r="AC14" i="288"/>
  <c r="AD16" i="288"/>
  <c r="AC17" i="288"/>
  <c r="AA15" i="287"/>
  <c r="AB18" i="287"/>
  <c r="AB29" i="287" a="1"/>
  <c r="AB29" i="287" s="1"/>
  <c r="AC14" i="287"/>
  <c r="AD16" i="287"/>
  <c r="AC17" i="287"/>
  <c r="Z15" i="286"/>
  <c r="AA18" i="286"/>
  <c r="AA29" i="286" a="1"/>
  <c r="AA29" i="286" s="1"/>
  <c r="AB14" i="286"/>
  <c r="AC16" i="286"/>
  <c r="AB17" i="286"/>
  <c r="Z15" i="285"/>
  <c r="AA18" i="285"/>
  <c r="AB14" i="285"/>
  <c r="AC16" i="285"/>
  <c r="AB17" i="285"/>
  <c r="Z15" i="284"/>
  <c r="AA18" i="284"/>
  <c r="AB14" i="284"/>
  <c r="AC16" i="284"/>
  <c r="AB17" i="284"/>
  <c r="Z15" i="283"/>
  <c r="AA18" i="283"/>
  <c r="AB14" i="283"/>
  <c r="AC16" i="283"/>
  <c r="AB17" i="283"/>
  <c r="Z15" i="282"/>
  <c r="AA18" i="282"/>
  <c r="AB14" i="282"/>
  <c r="AC16" i="282"/>
  <c r="AB17" i="282"/>
  <c r="Z15" i="281"/>
  <c r="AA18" i="281"/>
  <c r="AA19" i="281"/>
  <c r="AA29" i="281" a="1"/>
  <c r="AA29" i="281" s="1"/>
  <c r="AB14" i="281"/>
  <c r="AC16" i="281"/>
  <c r="AB17" i="281"/>
  <c r="AA19" i="289"/>
  <c r="AA29" i="289" a="1"/>
  <c r="AA29" i="289" s="1"/>
  <c r="Z29" i="284" a="1"/>
  <c r="Z29" i="284" s="1"/>
  <c r="Z19" i="284"/>
  <c r="Z29" i="283" a="1"/>
  <c r="Z29" i="283" s="1"/>
  <c r="Z19" i="283"/>
  <c r="Z19" i="282"/>
  <c r="AB19" i="287" l="1"/>
  <c r="AA19" i="286"/>
  <c r="AA19" i="282"/>
  <c r="AA29" i="282" a="1"/>
  <c r="AA29" i="282" s="1"/>
  <c r="AA19" i="285"/>
  <c r="AA15" i="291"/>
  <c r="AB18" i="291"/>
  <c r="AB19" i="291" s="1"/>
  <c r="AC14" i="291"/>
  <c r="AC17" i="291"/>
  <c r="AD16" i="291"/>
  <c r="AB15" i="290"/>
  <c r="AC18" i="290"/>
  <c r="AC19" i="290" s="1"/>
  <c r="AE16" i="290"/>
  <c r="AD17" i="290"/>
  <c r="AD14" i="290"/>
  <c r="AD14" i="289"/>
  <c r="AE16" i="289"/>
  <c r="AD17" i="289"/>
  <c r="AB15" i="289"/>
  <c r="AC18" i="289"/>
  <c r="AC19" i="289"/>
  <c r="AB15" i="288"/>
  <c r="AC18" i="288"/>
  <c r="AD14" i="288"/>
  <c r="AD17" i="288"/>
  <c r="AE16" i="288"/>
  <c r="AB15" i="287"/>
  <c r="AC18" i="287"/>
  <c r="AC19" i="287"/>
  <c r="AD14" i="287"/>
  <c r="AD17" i="287"/>
  <c r="AE16" i="287"/>
  <c r="AA15" i="286"/>
  <c r="AB18" i="286"/>
  <c r="AB29" i="286" a="1"/>
  <c r="AB29" i="286" s="1"/>
  <c r="AC14" i="286"/>
  <c r="AC17" i="286"/>
  <c r="AD16" i="286"/>
  <c r="AA15" i="285"/>
  <c r="AB18" i="285"/>
  <c r="AC14" i="285"/>
  <c r="AC17" i="285"/>
  <c r="AD16" i="285"/>
  <c r="AA15" i="284"/>
  <c r="AB18" i="284"/>
  <c r="AC14" i="284"/>
  <c r="AD16" i="284"/>
  <c r="AC17" i="284"/>
  <c r="AA15" i="283"/>
  <c r="AB18" i="283"/>
  <c r="AC14" i="283"/>
  <c r="AD16" i="283"/>
  <c r="AC17" i="283"/>
  <c r="AA15" i="282"/>
  <c r="AB18" i="282"/>
  <c r="AB19" i="282" s="1"/>
  <c r="AB29" i="282" a="1"/>
  <c r="AB29" i="282" s="1"/>
  <c r="AC14" i="282"/>
  <c r="AD16" i="282"/>
  <c r="AC17" i="282"/>
  <c r="AA15" i="281"/>
  <c r="AB18" i="281"/>
  <c r="AC14" i="281"/>
  <c r="AD16" i="281"/>
  <c r="AC17" i="281"/>
  <c r="AA29" i="291" a="1"/>
  <c r="AA29" i="291" s="1"/>
  <c r="AA19" i="291"/>
  <c r="AB29" i="290" a="1"/>
  <c r="AB29" i="290" s="1"/>
  <c r="AB19" i="290"/>
  <c r="AB19" i="289"/>
  <c r="AB29" i="289" a="1"/>
  <c r="AB29" i="289" s="1"/>
  <c r="AB19" i="288"/>
  <c r="AA29" i="284" a="1"/>
  <c r="AA29" i="284" s="1"/>
  <c r="AA19" i="284"/>
  <c r="AA29" i="283" a="1"/>
  <c r="AA29" i="283" s="1"/>
  <c r="AA19" i="283"/>
  <c r="AB29" i="291" l="1" a="1"/>
  <c r="AB29" i="291" s="1"/>
  <c r="AB19" i="286"/>
  <c r="AB19" i="285"/>
  <c r="AB29" i="285" a="1"/>
  <c r="AB29" i="285" s="1"/>
  <c r="AB15" i="291"/>
  <c r="AC18" i="291"/>
  <c r="AD14" i="291"/>
  <c r="AD17" i="291"/>
  <c r="AE16" i="291"/>
  <c r="AF16" i="290"/>
  <c r="AE14" i="290"/>
  <c r="AE17" i="290"/>
  <c r="AC15" i="290"/>
  <c r="AD18" i="290"/>
  <c r="AC15" i="289"/>
  <c r="AD18" i="289"/>
  <c r="AE17" i="289"/>
  <c r="AE14" i="289"/>
  <c r="AF16" i="289"/>
  <c r="AC15" i="288"/>
  <c r="AD18" i="288"/>
  <c r="AE14" i="288"/>
  <c r="AF16" i="288"/>
  <c r="AE17" i="288"/>
  <c r="AC15" i="287"/>
  <c r="AD18" i="287"/>
  <c r="AE14" i="287"/>
  <c r="AE17" i="287"/>
  <c r="AF16" i="287"/>
  <c r="AB15" i="286"/>
  <c r="AC18" i="286"/>
  <c r="AD14" i="286"/>
  <c r="AE16" i="286"/>
  <c r="AD17" i="286"/>
  <c r="AB15" i="285"/>
  <c r="AC18" i="285"/>
  <c r="AD14" i="285"/>
  <c r="AD17" i="285"/>
  <c r="AE16" i="285"/>
  <c r="AB15" i="284"/>
  <c r="AC18" i="284"/>
  <c r="AD14" i="284"/>
  <c r="AE16" i="284"/>
  <c r="AD17" i="284"/>
  <c r="AB15" i="283"/>
  <c r="AC18" i="283"/>
  <c r="AD14" i="283"/>
  <c r="AE16" i="283"/>
  <c r="AD17" i="283"/>
  <c r="AB15" i="282"/>
  <c r="AC18" i="282"/>
  <c r="AD14" i="282"/>
  <c r="AE16" i="282"/>
  <c r="AD17" i="282"/>
  <c r="AB15" i="281"/>
  <c r="AC18" i="281"/>
  <c r="AD14" i="281"/>
  <c r="AE16" i="281"/>
  <c r="AD17" i="281"/>
  <c r="AC19" i="288"/>
  <c r="AB29" i="284" a="1"/>
  <c r="AB29" i="284" s="1"/>
  <c r="AB19" i="284"/>
  <c r="AB29" i="283" a="1"/>
  <c r="AB29" i="283" s="1"/>
  <c r="AB19" i="283"/>
  <c r="AB29" i="281" a="1"/>
  <c r="AB29" i="281" s="1"/>
  <c r="AB19" i="281"/>
  <c r="AD19" i="288" l="1"/>
  <c r="AD29" i="288" a="1"/>
  <c r="AD29" i="288" s="1"/>
  <c r="AD19" i="289"/>
  <c r="AC19" i="286"/>
  <c r="AC19" i="285"/>
  <c r="AC19" i="284"/>
  <c r="AC19" i="281"/>
  <c r="AC15" i="291"/>
  <c r="AD18" i="291"/>
  <c r="AD29" i="291" s="1" a="1"/>
  <c r="AD29" i="291" s="1"/>
  <c r="AE14" i="291"/>
  <c r="AF16" i="291"/>
  <c r="AE17" i="291"/>
  <c r="AG16" i="290"/>
  <c r="AF17" i="290"/>
  <c r="AF14" i="290"/>
  <c r="AD15" i="290"/>
  <c r="AE18" i="290"/>
  <c r="AD15" i="289"/>
  <c r="AE18" i="289"/>
  <c r="AE19" i="289"/>
  <c r="AE29" i="289" a="1"/>
  <c r="AE29" i="289" s="1"/>
  <c r="AF17" i="289"/>
  <c r="AF14" i="289"/>
  <c r="AG16" i="289"/>
  <c r="AD15" i="288"/>
  <c r="AE18" i="288"/>
  <c r="AE29" i="288" a="1"/>
  <c r="AE29" i="288" s="1"/>
  <c r="AF14" i="288"/>
  <c r="AF17" i="288"/>
  <c r="AG16" i="288"/>
  <c r="AD15" i="287"/>
  <c r="AE18" i="287"/>
  <c r="AE29" i="287" a="1"/>
  <c r="AE29" i="287" s="1"/>
  <c r="AF14" i="287"/>
  <c r="AG16" i="287"/>
  <c r="AF17" i="287"/>
  <c r="AC15" i="286"/>
  <c r="AD18" i="286"/>
  <c r="AE14" i="286"/>
  <c r="AF16" i="286"/>
  <c r="AE17" i="286"/>
  <c r="AC15" i="285"/>
  <c r="AD18" i="285"/>
  <c r="AE14" i="285"/>
  <c r="AF16" i="285"/>
  <c r="AE17" i="285"/>
  <c r="AC15" i="284"/>
  <c r="AD18" i="284"/>
  <c r="AE14" i="284"/>
  <c r="AF16" i="284"/>
  <c r="AE17" i="284"/>
  <c r="AC15" i="283"/>
  <c r="AD18" i="283"/>
  <c r="AE14" i="283"/>
  <c r="AF16" i="283"/>
  <c r="AE17" i="283"/>
  <c r="AC15" i="282"/>
  <c r="AD18" i="282"/>
  <c r="AE14" i="282"/>
  <c r="AF16" i="282"/>
  <c r="AE17" i="282"/>
  <c r="AC15" i="281"/>
  <c r="AD18" i="281"/>
  <c r="AE14" i="281"/>
  <c r="AF16" i="281"/>
  <c r="AE17" i="281"/>
  <c r="AC19" i="291"/>
  <c r="AD29" i="290" a="1"/>
  <c r="AD29" i="290" s="1"/>
  <c r="AD19" i="290"/>
  <c r="AD19" i="287"/>
  <c r="AD29" i="287" a="1"/>
  <c r="AD29" i="287" s="1"/>
  <c r="AC19" i="283"/>
  <c r="AC19" i="282"/>
  <c r="AD19" i="291" l="1"/>
  <c r="AE19" i="288"/>
  <c r="AE19" i="287"/>
  <c r="AD19" i="286"/>
  <c r="AD19" i="282"/>
  <c r="AD29" i="282" a="1"/>
  <c r="AD29" i="282" s="1"/>
  <c r="AD19" i="285"/>
  <c r="AD29" i="285" a="1"/>
  <c r="AD29" i="285" s="1"/>
  <c r="AD15" i="291"/>
  <c r="AE18" i="291"/>
  <c r="AF14" i="291"/>
  <c r="AG16" i="291"/>
  <c r="AF17" i="291"/>
  <c r="AG14" i="290"/>
  <c r="AG17" i="290"/>
  <c r="AH16" i="290"/>
  <c r="AE15" i="290"/>
  <c r="AF18" i="290"/>
  <c r="AE15" i="289"/>
  <c r="AF18" i="289"/>
  <c r="AG17" i="289"/>
  <c r="AH16" i="289"/>
  <c r="AG14" i="289"/>
  <c r="AE15" i="288"/>
  <c r="AF18" i="288"/>
  <c r="AG14" i="288"/>
  <c r="AG17" i="288"/>
  <c r="AH16" i="288"/>
  <c r="AE15" i="287"/>
  <c r="AF18" i="287"/>
  <c r="AG14" i="287"/>
  <c r="AH16" i="287"/>
  <c r="AG17" i="287"/>
  <c r="AD15" i="286"/>
  <c r="AE18" i="286"/>
  <c r="AE19" i="286"/>
  <c r="AE29" i="286" a="1"/>
  <c r="AE29" i="286" s="1"/>
  <c r="AF14" i="286"/>
  <c r="AF17" i="286"/>
  <c r="AG16" i="286"/>
  <c r="AD15" i="285"/>
  <c r="AE18" i="285"/>
  <c r="AE29" i="285" a="1"/>
  <c r="AE29" i="285" s="1"/>
  <c r="AF14" i="285"/>
  <c r="AF17" i="285"/>
  <c r="AG16" i="285"/>
  <c r="AD15" i="284"/>
  <c r="AE18" i="284"/>
  <c r="AF14" i="284"/>
  <c r="AG16" i="284"/>
  <c r="AF17" i="284"/>
  <c r="AD15" i="283"/>
  <c r="AE18" i="283"/>
  <c r="AF14" i="283"/>
  <c r="AG16" i="283"/>
  <c r="AF17" i="283"/>
  <c r="AD15" i="282"/>
  <c r="AE18" i="282"/>
  <c r="AF14" i="282"/>
  <c r="AG16" i="282"/>
  <c r="AF17" i="282"/>
  <c r="AD15" i="281"/>
  <c r="AE18" i="281"/>
  <c r="AF14" i="281"/>
  <c r="AG16" i="281"/>
  <c r="AF17" i="281"/>
  <c r="AE29" i="290" a="1"/>
  <c r="AE29" i="290" s="1"/>
  <c r="AE19" i="290"/>
  <c r="AD19" i="284"/>
  <c r="AD29" i="284" a="1"/>
  <c r="AD29" i="284" s="1"/>
  <c r="AD29" i="283" a="1"/>
  <c r="AD29" i="283" s="1"/>
  <c r="AD19" i="283"/>
  <c r="AD29" i="281" a="1"/>
  <c r="AD29" i="281" s="1"/>
  <c r="AD19" i="281"/>
  <c r="AE19" i="285" l="1"/>
  <c r="AE19" i="281"/>
  <c r="AE15" i="291"/>
  <c r="AF18" i="291"/>
  <c r="AG14" i="291"/>
  <c r="AH16" i="291"/>
  <c r="AG17" i="291"/>
  <c r="AF15" i="290"/>
  <c r="AG18" i="290"/>
  <c r="AG19" i="290"/>
  <c r="AH17" i="290"/>
  <c r="AI16" i="290"/>
  <c r="AH14" i="290"/>
  <c r="AI16" i="289"/>
  <c r="AH17" i="289"/>
  <c r="AH14" i="289"/>
  <c r="AF15" i="289"/>
  <c r="AG18" i="289"/>
  <c r="AF15" i="288"/>
  <c r="AG18" i="288"/>
  <c r="AG29" i="288" a="1"/>
  <c r="AG29" i="288" s="1"/>
  <c r="AH14" i="288"/>
  <c r="AI16" i="288"/>
  <c r="AH17" i="288"/>
  <c r="AF15" i="287"/>
  <c r="AG18" i="287"/>
  <c r="AG29" i="287" a="1"/>
  <c r="AG29" i="287" s="1"/>
  <c r="AH14" i="287"/>
  <c r="AH17" i="287"/>
  <c r="AI16" i="287"/>
  <c r="AE15" i="286"/>
  <c r="AF18" i="286"/>
  <c r="AG14" i="286"/>
  <c r="AG17" i="286"/>
  <c r="AH16" i="286"/>
  <c r="AE15" i="285"/>
  <c r="AF18" i="285"/>
  <c r="AG14" i="285"/>
  <c r="AG17" i="285"/>
  <c r="AH16" i="285"/>
  <c r="AE15" i="284"/>
  <c r="AF18" i="284"/>
  <c r="AG14" i="284"/>
  <c r="AH16" i="284"/>
  <c r="AG17" i="284"/>
  <c r="AE15" i="283"/>
  <c r="AF18" i="283"/>
  <c r="AG14" i="283"/>
  <c r="AH16" i="283"/>
  <c r="AG17" i="283"/>
  <c r="AE15" i="282"/>
  <c r="AF18" i="282"/>
  <c r="AF19" i="282" s="1"/>
  <c r="AF29" i="282" a="1"/>
  <c r="AF29" i="282" s="1"/>
  <c r="AG14" i="282"/>
  <c r="AH16" i="282"/>
  <c r="AG17" i="282"/>
  <c r="AE15" i="281"/>
  <c r="AF18" i="281"/>
  <c r="AG14" i="281"/>
  <c r="AH16" i="281"/>
  <c r="AG17" i="281"/>
  <c r="AE29" i="291" a="1"/>
  <c r="AE29" i="291" s="1"/>
  <c r="AE19" i="291"/>
  <c r="AF19" i="290"/>
  <c r="AF29" i="290" a="1"/>
  <c r="AF29" i="290" s="1"/>
  <c r="AF29" i="289" a="1"/>
  <c r="AF29" i="289" s="1"/>
  <c r="AF19" i="289"/>
  <c r="AF29" i="288" a="1"/>
  <c r="AF29" i="288" s="1"/>
  <c r="AF19" i="288"/>
  <c r="AF19" i="287"/>
  <c r="AE19" i="284"/>
  <c r="AE29" i="283" a="1"/>
  <c r="AE29" i="283" s="1"/>
  <c r="AE19" i="283"/>
  <c r="AE29" i="282" a="1"/>
  <c r="AE29" i="282" s="1"/>
  <c r="AE19" i="282"/>
  <c r="AG19" i="288" l="1"/>
  <c r="AG19" i="287"/>
  <c r="AF15" i="291"/>
  <c r="AG18" i="291"/>
  <c r="AH14" i="291"/>
  <c r="AI16" i="291"/>
  <c r="AH17" i="291"/>
  <c r="AI17" i="290"/>
  <c r="AJ16" i="290"/>
  <c r="AI14" i="290"/>
  <c r="AG15" i="290"/>
  <c r="AH18" i="290"/>
  <c r="AH29" i="290" a="1"/>
  <c r="AH29" i="290" s="1"/>
  <c r="AH19" i="290"/>
  <c r="AJ16" i="289"/>
  <c r="AI17" i="289"/>
  <c r="AI14" i="289"/>
  <c r="AG15" i="289"/>
  <c r="AH18" i="289"/>
  <c r="AG15" i="288"/>
  <c r="AH18" i="288"/>
  <c r="AI14" i="288"/>
  <c r="AJ16" i="288"/>
  <c r="AI17" i="288"/>
  <c r="AG15" i="287"/>
  <c r="AH18" i="287"/>
  <c r="AI14" i="287"/>
  <c r="AJ16" i="287"/>
  <c r="AI17" i="287"/>
  <c r="AF15" i="286"/>
  <c r="AG18" i="286"/>
  <c r="AG19" i="286"/>
  <c r="AG29" i="286" a="1"/>
  <c r="AG29" i="286" s="1"/>
  <c r="AH14" i="286"/>
  <c r="AI16" i="286"/>
  <c r="AH17" i="286"/>
  <c r="AF15" i="285"/>
  <c r="AG18" i="285"/>
  <c r="AH14" i="285"/>
  <c r="AH17" i="285"/>
  <c r="AI16" i="285"/>
  <c r="AF15" i="284"/>
  <c r="AG18" i="284"/>
  <c r="AH14" i="284"/>
  <c r="AI16" i="284"/>
  <c r="AH17" i="284"/>
  <c r="AF15" i="283"/>
  <c r="AG18" i="283"/>
  <c r="AH14" i="283"/>
  <c r="AI16" i="283"/>
  <c r="AH17" i="283"/>
  <c r="AF15" i="282"/>
  <c r="AG18" i="282"/>
  <c r="AH14" i="282"/>
  <c r="AI16" i="282"/>
  <c r="AH17" i="282"/>
  <c r="AF15" i="281"/>
  <c r="AG18" i="281"/>
  <c r="AH14" i="281"/>
  <c r="AI16" i="281"/>
  <c r="AH17" i="281"/>
  <c r="AF29" i="291" a="1"/>
  <c r="AF29" i="291" s="1"/>
  <c r="AF19" i="291"/>
  <c r="AG29" i="289" a="1"/>
  <c r="AG29" i="289" s="1"/>
  <c r="AG19" i="289"/>
  <c r="AF29" i="286" a="1"/>
  <c r="AF29" i="286" s="1"/>
  <c r="AF19" i="286"/>
  <c r="AF19" i="285"/>
  <c r="AF29" i="285" a="1"/>
  <c r="AF29" i="285" s="1"/>
  <c r="AF19" i="284"/>
  <c r="AF29" i="284" a="1"/>
  <c r="AF29" i="284" s="1"/>
  <c r="AF29" i="283" a="1"/>
  <c r="AF29" i="283" s="1"/>
  <c r="AF19" i="283"/>
  <c r="AF29" i="281" a="1"/>
  <c r="AF29" i="281" s="1"/>
  <c r="AF19" i="281"/>
  <c r="AG29" i="281" l="1" a="1"/>
  <c r="AG29" i="281" s="1"/>
  <c r="AG19" i="281"/>
  <c r="AG19" i="282"/>
  <c r="AH29" i="288" a="1"/>
  <c r="AH29" i="288" s="1"/>
  <c r="AH19" i="288"/>
  <c r="AG15" i="291"/>
  <c r="AH18" i="291"/>
  <c r="AH29" i="291" a="1"/>
  <c r="AH29" i="291" s="1"/>
  <c r="AH19" i="291"/>
  <c r="AI14" i="291"/>
  <c r="AJ16" i="291"/>
  <c r="AI17" i="291"/>
  <c r="AJ17" i="290"/>
  <c r="AJ14" i="290"/>
  <c r="AJ15" i="290" s="1"/>
  <c r="AH15" i="290"/>
  <c r="AI18" i="290"/>
  <c r="AJ14" i="289"/>
  <c r="AJ15" i="289" s="1"/>
  <c r="AJ17" i="289"/>
  <c r="AH15" i="289"/>
  <c r="AI18" i="289"/>
  <c r="AH15" i="288"/>
  <c r="AI18" i="288"/>
  <c r="AI19" i="288" s="1"/>
  <c r="AJ14" i="288"/>
  <c r="AJ15" i="288" s="1"/>
  <c r="AJ17" i="288"/>
  <c r="AH15" i="287"/>
  <c r="AI18" i="287"/>
  <c r="AI19" i="287"/>
  <c r="AI29" i="287" a="1"/>
  <c r="AI29" i="287" s="1"/>
  <c r="AJ14" i="287"/>
  <c r="AJ15" i="287" s="1"/>
  <c r="AJ17" i="287"/>
  <c r="AG15" i="286"/>
  <c r="AH18" i="286"/>
  <c r="AI14" i="286"/>
  <c r="AI17" i="286"/>
  <c r="AJ16" i="286"/>
  <c r="AG15" i="285"/>
  <c r="AH18" i="285"/>
  <c r="AI14" i="285"/>
  <c r="AI17" i="285"/>
  <c r="AJ16" i="285"/>
  <c r="AG15" i="284"/>
  <c r="AH18" i="284"/>
  <c r="AI14" i="284"/>
  <c r="AJ16" i="284"/>
  <c r="AI17" i="284"/>
  <c r="AG15" i="283"/>
  <c r="AH18" i="283"/>
  <c r="AI14" i="283"/>
  <c r="AJ16" i="283"/>
  <c r="AI17" i="283"/>
  <c r="AG15" i="282"/>
  <c r="AH18" i="282"/>
  <c r="AI14" i="282"/>
  <c r="AJ16" i="282"/>
  <c r="AI17" i="282"/>
  <c r="AG15" i="281"/>
  <c r="AH18" i="281"/>
  <c r="AI14" i="281"/>
  <c r="AJ16" i="281"/>
  <c r="AI17" i="281"/>
  <c r="AG19" i="291"/>
  <c r="AH19" i="289"/>
  <c r="AH29" i="289" a="1"/>
  <c r="AH29" i="289" s="1"/>
  <c r="AH29" i="287" a="1"/>
  <c r="AH29" i="287" s="1"/>
  <c r="AH19" i="287"/>
  <c r="AG29" i="285" a="1"/>
  <c r="AG29" i="285" s="1"/>
  <c r="AG19" i="285"/>
  <c r="AG19" i="284"/>
  <c r="AG29" i="284" a="1"/>
  <c r="AG29" i="284" s="1"/>
  <c r="AG29" i="283" a="1"/>
  <c r="AG29" i="283" s="1"/>
  <c r="AG19" i="283"/>
  <c r="AL17" i="290" l="1" a="1"/>
  <c r="AL17" i="290" s="1"/>
  <c r="L26" i="145" s="1"/>
  <c r="L25" i="145"/>
  <c r="L32" i="145" a="1"/>
  <c r="L32" i="145" s="1"/>
  <c r="L35" i="145" a="1"/>
  <c r="L35" i="145" s="1"/>
  <c r="L33" i="145" a="1"/>
  <c r="L33" i="145" s="1"/>
  <c r="L29" i="145" a="1"/>
  <c r="L29" i="145" s="1"/>
  <c r="L31" i="145" a="1"/>
  <c r="L31" i="145" s="1"/>
  <c r="AL17" i="289" a="1"/>
  <c r="AL17" i="289" s="1"/>
  <c r="M26" i="145" s="1"/>
  <c r="M25" i="145"/>
  <c r="N32" i="145" a="1"/>
  <c r="N32" i="145" s="1"/>
  <c r="N30" i="145" a="1"/>
  <c r="N30" i="145" s="1"/>
  <c r="AL17" i="288" a="1"/>
  <c r="AL17" i="288" s="1"/>
  <c r="N26" i="145" s="1"/>
  <c r="N25" i="145"/>
  <c r="O30" i="145" a="1"/>
  <c r="O30" i="145" s="1"/>
  <c r="O29" i="145" a="1"/>
  <c r="O29" i="145" s="1"/>
  <c r="O31" i="145" a="1"/>
  <c r="O31" i="145" s="1"/>
  <c r="O32" i="145" a="1"/>
  <c r="O32" i="145" s="1"/>
  <c r="AL17" i="287" a="1"/>
  <c r="AL17" i="287" s="1"/>
  <c r="O26" i="145" s="1"/>
  <c r="O25" i="145"/>
  <c r="AH19" i="281"/>
  <c r="AH29" i="281" a="1"/>
  <c r="AH29" i="281" s="1"/>
  <c r="AH15" i="291"/>
  <c r="AI18" i="291"/>
  <c r="AJ14" i="291"/>
  <c r="AJ15" i="291" s="1"/>
  <c r="AJ17" i="291"/>
  <c r="AI15" i="290"/>
  <c r="AJ18" i="290"/>
  <c r="L30" i="145" s="1" a="1"/>
  <c r="L30" i="145" s="1"/>
  <c r="AI15" i="289"/>
  <c r="AJ18" i="289"/>
  <c r="AJ19" i="289"/>
  <c r="AI15" i="288"/>
  <c r="AJ18" i="288"/>
  <c r="N29" i="145" s="1" a="1"/>
  <c r="N29" i="145" s="1"/>
  <c r="AI15" i="287"/>
  <c r="AJ18" i="287"/>
  <c r="O34" i="145" s="1" a="1"/>
  <c r="O34" i="145" s="1"/>
  <c r="AJ19" i="287"/>
  <c r="AH15" i="286"/>
  <c r="AI18" i="286"/>
  <c r="AI19" i="286"/>
  <c r="AI29" i="286" a="1"/>
  <c r="AI29" i="286" s="1"/>
  <c r="AJ14" i="286"/>
  <c r="AJ15" i="286" s="1"/>
  <c r="AJ17" i="286"/>
  <c r="AH15" i="285"/>
  <c r="AI18" i="285"/>
  <c r="AJ14" i="285"/>
  <c r="AJ15" i="285" s="1"/>
  <c r="AJ17" i="285"/>
  <c r="AH15" i="284"/>
  <c r="AI18" i="284"/>
  <c r="AJ14" i="284"/>
  <c r="AJ15" i="284" s="1"/>
  <c r="AJ17" i="284"/>
  <c r="AH15" i="283"/>
  <c r="AI18" i="283"/>
  <c r="AJ14" i="283"/>
  <c r="AJ15" i="283" s="1"/>
  <c r="AJ17" i="283"/>
  <c r="AH15" i="282"/>
  <c r="AI18" i="282"/>
  <c r="AI29" i="282" a="1"/>
  <c r="AI29" i="282" s="1"/>
  <c r="AI19" i="282"/>
  <c r="AJ14" i="282"/>
  <c r="AJ15" i="282" s="1"/>
  <c r="AJ17" i="282"/>
  <c r="AH15" i="281"/>
  <c r="AI18" i="281"/>
  <c r="AI19" i="281" s="1"/>
  <c r="AI29" i="281" a="1"/>
  <c r="AI29" i="281" s="1"/>
  <c r="AJ14" i="281"/>
  <c r="AJ15" i="281" s="1"/>
  <c r="AJ17" i="281"/>
  <c r="AI29" i="290" a="1"/>
  <c r="AI29" i="290" s="1"/>
  <c r="AI19" i="290"/>
  <c r="AI19" i="289"/>
  <c r="AI29" i="289" a="1"/>
  <c r="AI29" i="289" s="1"/>
  <c r="AH19" i="286"/>
  <c r="AH29" i="286" a="1"/>
  <c r="AH29" i="286" s="1"/>
  <c r="AH19" i="285"/>
  <c r="AH29" i="284" a="1"/>
  <c r="AH29" i="284" s="1"/>
  <c r="AH19" i="284"/>
  <c r="AH29" i="283" a="1"/>
  <c r="AH29" i="283" s="1"/>
  <c r="AH19" i="283"/>
  <c r="AH19" i="282"/>
  <c r="AH29" i="282" a="1"/>
  <c r="AH29" i="282" s="1"/>
  <c r="AL17" i="291" l="1" a="1"/>
  <c r="AL17" i="291" s="1"/>
  <c r="K26" i="145" s="1"/>
  <c r="K25" i="145"/>
  <c r="AJ19" i="290"/>
  <c r="L34" i="145" a="1"/>
  <c r="L34" i="145" s="1"/>
  <c r="M31" i="145" a="1"/>
  <c r="M31" i="145" s="1"/>
  <c r="M34" i="145" a="1"/>
  <c r="M34" i="145" s="1"/>
  <c r="M35" i="145" a="1"/>
  <c r="M35" i="145" s="1"/>
  <c r="M30" i="145" a="1"/>
  <c r="M30" i="145" s="1"/>
  <c r="M29" i="145" a="1"/>
  <c r="M29" i="145" s="1"/>
  <c r="M33" i="145" a="1"/>
  <c r="M33" i="145" s="1"/>
  <c r="M32" i="145" a="1"/>
  <c r="M32" i="145" s="1"/>
  <c r="AJ19" i="288"/>
  <c r="N34" i="145" a="1"/>
  <c r="N34" i="145" s="1"/>
  <c r="N33" i="145" a="1"/>
  <c r="N33" i="145" s="1"/>
  <c r="N31" i="145" a="1"/>
  <c r="N31" i="145" s="1"/>
  <c r="N35" i="145" a="1"/>
  <c r="N35" i="145" s="1"/>
  <c r="O33" i="145" a="1"/>
  <c r="O33" i="145" s="1"/>
  <c r="O35" i="145" a="1"/>
  <c r="O35" i="145" s="1"/>
  <c r="AL17" i="286" a="1"/>
  <c r="AL17" i="286" s="1"/>
  <c r="P26" i="145" s="1"/>
  <c r="P25" i="145"/>
  <c r="Q31" i="145" a="1"/>
  <c r="Q31" i="145" s="1"/>
  <c r="Q30" i="145" a="1"/>
  <c r="Q30" i="145" s="1"/>
  <c r="AL17" i="285" a="1"/>
  <c r="AL17" i="285" s="1"/>
  <c r="Q26" i="145" s="1"/>
  <c r="Q25" i="145"/>
  <c r="R29" i="145" a="1"/>
  <c r="R29" i="145" s="1"/>
  <c r="AL17" i="284" a="1"/>
  <c r="AL17" i="284" s="1"/>
  <c r="R26" i="145" s="1"/>
  <c r="R25" i="145"/>
  <c r="AL17" i="283" a="1"/>
  <c r="AL17" i="283" s="1"/>
  <c r="S26" i="145" s="1"/>
  <c r="S25" i="145"/>
  <c r="T33" i="145" a="1"/>
  <c r="T33" i="145" s="1"/>
  <c r="T34" i="145" a="1"/>
  <c r="T34" i="145" s="1"/>
  <c r="T29" i="145" a="1"/>
  <c r="T29" i="145" s="1"/>
  <c r="AL17" i="282" a="1"/>
  <c r="AL17" i="282" s="1"/>
  <c r="T26" i="145" s="1"/>
  <c r="T25" i="145"/>
  <c r="U30" i="145" a="1"/>
  <c r="U30" i="145" s="1"/>
  <c r="U29" i="145" a="1"/>
  <c r="U29" i="145" s="1"/>
  <c r="U35" i="145" a="1"/>
  <c r="U35" i="145" s="1"/>
  <c r="AL17" i="281" a="1"/>
  <c r="AL17" i="281" s="1"/>
  <c r="U26" i="145" s="1"/>
  <c r="V26" i="145"/>
  <c r="U25" i="145"/>
  <c r="AI15" i="291"/>
  <c r="AJ18" i="291"/>
  <c r="AI15" i="286"/>
  <c r="AJ18" i="286"/>
  <c r="AI15" i="285"/>
  <c r="AJ18" i="285"/>
  <c r="Q34" i="145" s="1" a="1"/>
  <c r="Q34" i="145" s="1"/>
  <c r="AJ19" i="285"/>
  <c r="AI15" i="284"/>
  <c r="AJ18" i="284"/>
  <c r="AI15" i="283"/>
  <c r="AJ18" i="283"/>
  <c r="AI15" i="282"/>
  <c r="AJ18" i="282"/>
  <c r="AI15" i="281"/>
  <c r="AJ18" i="281"/>
  <c r="AI29" i="291" a="1"/>
  <c r="AI29" i="291" s="1"/>
  <c r="AI19" i="291"/>
  <c r="AI19" i="285"/>
  <c r="AI29" i="285" a="1"/>
  <c r="AI29" i="285" s="1"/>
  <c r="AI29" i="284" a="1"/>
  <c r="AI29" i="284" s="1"/>
  <c r="AI19" i="284"/>
  <c r="AI19" i="283"/>
  <c r="AI29" i="283" a="1"/>
  <c r="AI29" i="283" s="1"/>
  <c r="P32" i="145" l="1" a="1"/>
  <c r="P32" i="145" s="1"/>
  <c r="P30" i="145" a="1"/>
  <c r="P30" i="145" s="1"/>
  <c r="R35" i="145" a="1"/>
  <c r="R35" i="145" s="1"/>
  <c r="R30" i="145" a="1"/>
  <c r="R30" i="145" s="1"/>
  <c r="U33" i="145" a="1"/>
  <c r="U33" i="145" s="1"/>
  <c r="U31" i="145" a="1"/>
  <c r="U31" i="145" s="1"/>
  <c r="K31" i="145" a="1"/>
  <c r="K31" i="145" s="1"/>
  <c r="K32" i="145" a="1"/>
  <c r="K32" i="145" s="1"/>
  <c r="K34" i="145" a="1"/>
  <c r="K34" i="145" s="1"/>
  <c r="K33" i="145" a="1"/>
  <c r="K33" i="145" s="1"/>
  <c r="K30" i="145" a="1"/>
  <c r="K30" i="145" s="1"/>
  <c r="K29" i="145" a="1"/>
  <c r="K29" i="145" s="1"/>
  <c r="K35" i="145" a="1"/>
  <c r="K35" i="145" s="1"/>
  <c r="P33" i="145" a="1"/>
  <c r="P33" i="145" s="1"/>
  <c r="P31" i="145" a="1"/>
  <c r="P31" i="145" s="1"/>
  <c r="P29" i="145" a="1"/>
  <c r="P29" i="145" s="1"/>
  <c r="P34" i="145" a="1"/>
  <c r="P34" i="145" s="1"/>
  <c r="P35" i="145" a="1"/>
  <c r="P35" i="145" s="1"/>
  <c r="Q33" i="145" a="1"/>
  <c r="Q33" i="145" s="1"/>
  <c r="Q32" i="145" a="1"/>
  <c r="Q32" i="145" s="1"/>
  <c r="Q35" i="145" a="1"/>
  <c r="Q35" i="145" s="1"/>
  <c r="Q29" i="145" a="1"/>
  <c r="Q29" i="145" s="1"/>
  <c r="AJ19" i="284"/>
  <c r="R33" i="145" a="1"/>
  <c r="R33" i="145" s="1"/>
  <c r="R34" i="145" a="1"/>
  <c r="R34" i="145" s="1"/>
  <c r="R31" i="145" a="1"/>
  <c r="R31" i="145" s="1"/>
  <c r="R32" i="145" a="1"/>
  <c r="R32" i="145" s="1"/>
  <c r="S32" i="145" a="1"/>
  <c r="S32" i="145" s="1"/>
  <c r="S31" i="145" a="1"/>
  <c r="S31" i="145" s="1"/>
  <c r="S29" i="145" a="1"/>
  <c r="S29" i="145" s="1"/>
  <c r="S30" i="145" a="1"/>
  <c r="S30" i="145" s="1"/>
  <c r="S33" i="145" a="1"/>
  <c r="S33" i="145" s="1"/>
  <c r="S35" i="145" a="1"/>
  <c r="S35" i="145" s="1"/>
  <c r="S34" i="145" a="1"/>
  <c r="S34" i="145" s="1"/>
  <c r="T31" i="145" a="1"/>
  <c r="T31" i="145" s="1"/>
  <c r="T30" i="145" a="1"/>
  <c r="T30" i="145" s="1"/>
  <c r="T32" i="145" a="1"/>
  <c r="T32" i="145" s="1"/>
  <c r="T35" i="145" a="1"/>
  <c r="T35" i="145" s="1"/>
  <c r="U32" i="145" a="1"/>
  <c r="U32" i="145" s="1"/>
  <c r="U34" i="145" a="1"/>
  <c r="U34" i="145" s="1"/>
  <c r="AJ19" i="291"/>
  <c r="AJ19" i="286"/>
  <c r="AJ19" i="283"/>
  <c r="AJ19" i="282"/>
  <c r="AJ19" i="281"/>
  <c r="U85" i="145" l="1"/>
  <c r="U92" i="145" s="1"/>
  <c r="AD11" i="139"/>
  <c r="T85" i="145"/>
  <c r="T92" i="145" s="1"/>
  <c r="AB11" i="139"/>
  <c r="S85" i="145"/>
  <c r="S92" i="145" s="1"/>
  <c r="Z11" i="139"/>
  <c r="R85" i="145"/>
  <c r="R92" i="145" s="1"/>
  <c r="X11" i="139"/>
  <c r="Q85" i="145"/>
  <c r="Q92" i="145" s="1"/>
  <c r="V11" i="139"/>
  <c r="P85" i="145"/>
  <c r="P92" i="145" s="1"/>
  <c r="T11" i="139"/>
  <c r="O85" i="145"/>
  <c r="O92" i="145" s="1"/>
  <c r="R11" i="139"/>
  <c r="N85" i="145"/>
  <c r="N92" i="145" s="1"/>
  <c r="P11" i="139"/>
  <c r="M85" i="145"/>
  <c r="M92" i="145" s="1"/>
  <c r="N11" i="139"/>
  <c r="L85" i="145"/>
  <c r="L92" i="145" s="1"/>
  <c r="L11" i="139"/>
  <c r="L13" i="139" s="1"/>
  <c r="K85" i="145"/>
  <c r="K92" i="145" s="1"/>
  <c r="V83" i="145"/>
  <c r="AF11" i="139" s="1"/>
  <c r="J11" i="139"/>
  <c r="J13" i="139" s="1"/>
  <c r="E62" i="144"/>
  <c r="F2" i="143" l="1"/>
  <c r="F266" i="28"/>
  <c r="D266" i="28"/>
  <c r="C266" i="28"/>
  <c r="B266" i="28" s="1"/>
  <c r="F265" i="28"/>
  <c r="D265" i="28"/>
  <c r="C265" i="28"/>
  <c r="B265" i="28" s="1"/>
  <c r="F264" i="28"/>
  <c r="D264" i="28"/>
  <c r="C264" i="28"/>
  <c r="B264" i="28" s="1"/>
  <c r="C133" i="28"/>
  <c r="B133" i="28" s="1"/>
  <c r="W30" i="291" l="1"/>
  <c r="W30" i="284"/>
  <c r="W30" i="281"/>
  <c r="W30" i="290"/>
  <c r="W30" i="287"/>
  <c r="W30" i="282"/>
  <c r="W30" i="289"/>
  <c r="W30" i="286"/>
  <c r="W30" i="283"/>
  <c r="W30" i="288"/>
  <c r="W30" i="285"/>
  <c r="P30" i="291"/>
  <c r="P30" i="290"/>
  <c r="P30" i="289"/>
  <c r="P30" i="288"/>
  <c r="P30" i="287"/>
  <c r="P30" i="286"/>
  <c r="P30" i="285"/>
  <c r="P30" i="284"/>
  <c r="P30" i="283"/>
  <c r="P30" i="282"/>
  <c r="P30" i="281"/>
  <c r="F30" i="287"/>
  <c r="F30" i="284"/>
  <c r="F30" i="289"/>
  <c r="F30" i="286"/>
  <c r="F30" i="283"/>
  <c r="F30" i="290"/>
  <c r="F30" i="285"/>
  <c r="F30" i="282"/>
  <c r="F30" i="291"/>
  <c r="F30" i="288"/>
  <c r="F30" i="281"/>
  <c r="AL51" i="135"/>
  <c r="F10" i="135"/>
  <c r="F16" i="135" s="1"/>
  <c r="G16" i="135" l="1"/>
  <c r="G14" i="135" s="1"/>
  <c r="F17" i="135"/>
  <c r="F14" i="135"/>
  <c r="G700" i="28"/>
  <c r="G699" i="28"/>
  <c r="G698" i="28"/>
  <c r="G697" i="28"/>
  <c r="G696" i="28"/>
  <c r="G695" i="28"/>
  <c r="G694" i="28"/>
  <c r="G693" i="28"/>
  <c r="G692" i="28"/>
  <c r="G691" i="28"/>
  <c r="G690" i="28"/>
  <c r="G689" i="28"/>
  <c r="G688" i="28"/>
  <c r="G687" i="28"/>
  <c r="G686" i="28"/>
  <c r="G685" i="28"/>
  <c r="G684" i="28"/>
  <c r="G683" i="28"/>
  <c r="G682" i="28"/>
  <c r="G681" i="28"/>
  <c r="G680" i="28"/>
  <c r="G679" i="28"/>
  <c r="G678" i="28"/>
  <c r="G677" i="28"/>
  <c r="G676" i="28"/>
  <c r="G675" i="28"/>
  <c r="G674" i="28"/>
  <c r="G673" i="28"/>
  <c r="G672" i="28"/>
  <c r="G671" i="28"/>
  <c r="G670" i="28"/>
  <c r="G669" i="28"/>
  <c r="G668" i="28"/>
  <c r="G667" i="28"/>
  <c r="G666" i="28"/>
  <c r="G665" i="28"/>
  <c r="G664" i="28"/>
  <c r="G663" i="28"/>
  <c r="G662" i="28"/>
  <c r="G661" i="28"/>
  <c r="G660" i="28"/>
  <c r="G659" i="28"/>
  <c r="G658" i="28"/>
  <c r="G657" i="28"/>
  <c r="G656" i="28"/>
  <c r="G655" i="28"/>
  <c r="G654" i="28"/>
  <c r="G653" i="28"/>
  <c r="G652" i="28"/>
  <c r="G651" i="28"/>
  <c r="G650" i="28"/>
  <c r="G649" i="28"/>
  <c r="G648" i="28"/>
  <c r="G647" i="28"/>
  <c r="G646" i="28"/>
  <c r="G645" i="28"/>
  <c r="G644" i="28"/>
  <c r="G643" i="28"/>
  <c r="G642" i="28"/>
  <c r="G641" i="28"/>
  <c r="G640" i="28"/>
  <c r="G639" i="28"/>
  <c r="G638" i="28"/>
  <c r="G637" i="28"/>
  <c r="G636" i="28"/>
  <c r="G635" i="28"/>
  <c r="G634" i="28"/>
  <c r="G633" i="28"/>
  <c r="G632" i="28"/>
  <c r="G631" i="28"/>
  <c r="G630" i="28"/>
  <c r="G629" i="28"/>
  <c r="G628" i="28"/>
  <c r="G627" i="28"/>
  <c r="G626" i="28"/>
  <c r="G625" i="28"/>
  <c r="G624" i="28"/>
  <c r="G623" i="28"/>
  <c r="G622" i="28"/>
  <c r="G621" i="28"/>
  <c r="G620" i="28"/>
  <c r="G619" i="28"/>
  <c r="G618" i="28"/>
  <c r="G617" i="28"/>
  <c r="G616" i="28"/>
  <c r="G615" i="28"/>
  <c r="G614" i="28"/>
  <c r="G613" i="28"/>
  <c r="G612" i="28"/>
  <c r="G611" i="28"/>
  <c r="G610" i="28"/>
  <c r="G609" i="28"/>
  <c r="G608" i="28"/>
  <c r="G607" i="28"/>
  <c r="G606" i="28"/>
  <c r="G605" i="28"/>
  <c r="G604" i="28"/>
  <c r="G603" i="28"/>
  <c r="G602" i="28"/>
  <c r="G601" i="28"/>
  <c r="G600" i="28"/>
  <c r="G599" i="28"/>
  <c r="G598" i="28"/>
  <c r="G597" i="28"/>
  <c r="G596" i="28"/>
  <c r="G595" i="28"/>
  <c r="G594" i="28"/>
  <c r="G593" i="28"/>
  <c r="G592" i="28"/>
  <c r="G591" i="28"/>
  <c r="G590" i="28"/>
  <c r="G589" i="28"/>
  <c r="G588" i="28"/>
  <c r="G587" i="28"/>
  <c r="G586" i="28"/>
  <c r="G585" i="28"/>
  <c r="G584" i="28"/>
  <c r="G583" i="28"/>
  <c r="G582" i="28"/>
  <c r="G581" i="28"/>
  <c r="G580" i="28"/>
  <c r="G579" i="28"/>
  <c r="G578" i="28"/>
  <c r="G577" i="28"/>
  <c r="G576" i="28"/>
  <c r="G575" i="28"/>
  <c r="G574" i="28"/>
  <c r="G573" i="28"/>
  <c r="G572" i="28"/>
  <c r="G571" i="28"/>
  <c r="G570" i="28"/>
  <c r="G569" i="28"/>
  <c r="G568" i="28"/>
  <c r="G567" i="28"/>
  <c r="G566" i="28"/>
  <c r="G565" i="28"/>
  <c r="G564" i="28"/>
  <c r="G563" i="28"/>
  <c r="G562" i="28"/>
  <c r="G561" i="28"/>
  <c r="G560" i="28"/>
  <c r="G559" i="28"/>
  <c r="G558" i="28"/>
  <c r="G557" i="28"/>
  <c r="G556" i="28"/>
  <c r="G555" i="28"/>
  <c r="G554" i="28"/>
  <c r="G553" i="28"/>
  <c r="G552" i="28"/>
  <c r="G551" i="28"/>
  <c r="G550" i="28"/>
  <c r="G549" i="28"/>
  <c r="G548" i="28"/>
  <c r="G547" i="28"/>
  <c r="G546" i="28"/>
  <c r="G545" i="28"/>
  <c r="G544" i="28"/>
  <c r="G543" i="28"/>
  <c r="G542" i="28"/>
  <c r="G541" i="28"/>
  <c r="G540" i="28"/>
  <c r="G539" i="28"/>
  <c r="G538" i="28"/>
  <c r="G537" i="28"/>
  <c r="G536" i="28"/>
  <c r="G535" i="28"/>
  <c r="G534" i="28"/>
  <c r="G533" i="28"/>
  <c r="G532" i="28"/>
  <c r="G531" i="28"/>
  <c r="G530" i="28"/>
  <c r="G529" i="28"/>
  <c r="G528" i="28"/>
  <c r="G527" i="28"/>
  <c r="G526" i="28"/>
  <c r="G525" i="28"/>
  <c r="G524" i="28"/>
  <c r="G523" i="28"/>
  <c r="G522" i="28"/>
  <c r="G521" i="28"/>
  <c r="G520" i="28"/>
  <c r="G519" i="28"/>
  <c r="G518" i="28"/>
  <c r="G517" i="28"/>
  <c r="G516" i="28"/>
  <c r="G515" i="28"/>
  <c r="G514" i="28"/>
  <c r="G513" i="28"/>
  <c r="G512" i="28"/>
  <c r="G511" i="28"/>
  <c r="G510" i="28"/>
  <c r="G509" i="28"/>
  <c r="G508" i="28"/>
  <c r="G507" i="28"/>
  <c r="G506" i="28"/>
  <c r="G505" i="28"/>
  <c r="G504" i="28"/>
  <c r="G503" i="28"/>
  <c r="G502" i="28"/>
  <c r="G501" i="28"/>
  <c r="G499" i="28"/>
  <c r="G498" i="28"/>
  <c r="G497" i="28"/>
  <c r="G496" i="28"/>
  <c r="G495" i="28"/>
  <c r="G494" i="28"/>
  <c r="G493" i="28"/>
  <c r="G492" i="28"/>
  <c r="G491" i="28"/>
  <c r="G490" i="28"/>
  <c r="G489" i="28"/>
  <c r="G488" i="28"/>
  <c r="G487" i="28"/>
  <c r="G486" i="28"/>
  <c r="G485" i="28"/>
  <c r="G484" i="28"/>
  <c r="G483" i="28"/>
  <c r="G482" i="28"/>
  <c r="G481" i="28"/>
  <c r="G480" i="28"/>
  <c r="G479" i="28"/>
  <c r="G478" i="28"/>
  <c r="G477" i="28"/>
  <c r="G476" i="28"/>
  <c r="G475" i="28"/>
  <c r="G474" i="28"/>
  <c r="G473" i="28"/>
  <c r="G472" i="28"/>
  <c r="G471" i="28"/>
  <c r="G470" i="28"/>
  <c r="G469" i="28"/>
  <c r="G468" i="28"/>
  <c r="G467" i="28"/>
  <c r="G466" i="28"/>
  <c r="G465" i="28"/>
  <c r="G464" i="28"/>
  <c r="G463" i="28"/>
  <c r="G462" i="28"/>
  <c r="G461" i="28"/>
  <c r="G460" i="28"/>
  <c r="G459" i="28"/>
  <c r="G458" i="28"/>
  <c r="G457" i="28"/>
  <c r="G456" i="28"/>
  <c r="G455" i="28"/>
  <c r="G454" i="28"/>
  <c r="G453" i="28"/>
  <c r="G452" i="28"/>
  <c r="G451" i="28"/>
  <c r="G450" i="28"/>
  <c r="G449" i="28"/>
  <c r="G448" i="28"/>
  <c r="G447" i="28"/>
  <c r="G446" i="28"/>
  <c r="G445" i="28"/>
  <c r="G444" i="28"/>
  <c r="G443" i="28"/>
  <c r="G442" i="28"/>
  <c r="G441" i="28"/>
  <c r="G440" i="28"/>
  <c r="G439" i="28"/>
  <c r="G438" i="28"/>
  <c r="G437" i="28"/>
  <c r="G436" i="28"/>
  <c r="G435" i="28"/>
  <c r="G434" i="28"/>
  <c r="G433" i="28"/>
  <c r="G432" i="28"/>
  <c r="G431" i="28"/>
  <c r="G430" i="28"/>
  <c r="G429" i="28"/>
  <c r="G428" i="28"/>
  <c r="G427" i="28"/>
  <c r="G426" i="28"/>
  <c r="G425" i="28"/>
  <c r="G424" i="28"/>
  <c r="G423" i="28"/>
  <c r="G422" i="28"/>
  <c r="G421" i="28"/>
  <c r="G420" i="28"/>
  <c r="G419" i="28"/>
  <c r="G418" i="28"/>
  <c r="G417" i="28"/>
  <c r="G416" i="28"/>
  <c r="G415" i="28"/>
  <c r="G414" i="28"/>
  <c r="G413" i="28"/>
  <c r="G412" i="28"/>
  <c r="G411" i="28"/>
  <c r="G410" i="28"/>
  <c r="G409" i="28"/>
  <c r="G408" i="28"/>
  <c r="G407" i="28"/>
  <c r="G406" i="28"/>
  <c r="G405" i="28"/>
  <c r="G404" i="28"/>
  <c r="G403" i="28"/>
  <c r="G402" i="28"/>
  <c r="G401" i="28"/>
  <c r="G400" i="28"/>
  <c r="G399" i="28"/>
  <c r="G398" i="28"/>
  <c r="G397" i="28"/>
  <c r="G396" i="28"/>
  <c r="G395" i="28"/>
  <c r="G394" i="28"/>
  <c r="G393" i="28"/>
  <c r="G392" i="28"/>
  <c r="G391" i="28"/>
  <c r="G390" i="28"/>
  <c r="G389" i="28"/>
  <c r="G388" i="28"/>
  <c r="G387" i="28"/>
  <c r="G386" i="28"/>
  <c r="G385" i="28"/>
  <c r="G384" i="28"/>
  <c r="G383" i="28"/>
  <c r="G382" i="28"/>
  <c r="G381" i="28"/>
  <c r="G380" i="28"/>
  <c r="G379" i="28"/>
  <c r="G378" i="28"/>
  <c r="G377" i="28"/>
  <c r="G376" i="28"/>
  <c r="G375" i="28"/>
  <c r="G374" i="28"/>
  <c r="G373" i="28"/>
  <c r="G372" i="28"/>
  <c r="G371" i="28"/>
  <c r="G370" i="28"/>
  <c r="G369" i="28"/>
  <c r="G368" i="28"/>
  <c r="G367" i="28"/>
  <c r="G366" i="28"/>
  <c r="G365" i="28"/>
  <c r="G364" i="28"/>
  <c r="G363" i="28"/>
  <c r="G362" i="28"/>
  <c r="G361" i="28"/>
  <c r="G360" i="28"/>
  <c r="G359" i="28"/>
  <c r="G358" i="28"/>
  <c r="G357" i="28"/>
  <c r="G356" i="28"/>
  <c r="G355" i="28"/>
  <c r="G354" i="28"/>
  <c r="G353" i="28"/>
  <c r="G352" i="28"/>
  <c r="G351" i="28"/>
  <c r="G350" i="28"/>
  <c r="G349" i="28"/>
  <c r="G337" i="28"/>
  <c r="G336" i="28"/>
  <c r="G335" i="28"/>
  <c r="G334" i="28"/>
  <c r="G333" i="28"/>
  <c r="G332" i="28"/>
  <c r="G331" i="28"/>
  <c r="B8" i="139" s="1"/>
  <c r="G330" i="28"/>
  <c r="G329" i="28"/>
  <c r="G328" i="28"/>
  <c r="B7" i="139" s="1"/>
  <c r="G327" i="28"/>
  <c r="G326" i="28"/>
  <c r="G325" i="28"/>
  <c r="B6" i="139" s="1"/>
  <c r="G324" i="28"/>
  <c r="G323" i="28"/>
  <c r="G322" i="28"/>
  <c r="H3" i="139" s="1"/>
  <c r="G321" i="28"/>
  <c r="B3" i="139" s="1"/>
  <c r="G320" i="28"/>
  <c r="G319" i="28"/>
  <c r="G318" i="28"/>
  <c r="G317" i="28"/>
  <c r="G316" i="28"/>
  <c r="G315" i="28"/>
  <c r="G314" i="28"/>
  <c r="G313" i="28"/>
  <c r="G312" i="28"/>
  <c r="G311" i="28"/>
  <c r="G310" i="28"/>
  <c r="G309" i="28"/>
  <c r="G308" i="28"/>
  <c r="G307" i="28"/>
  <c r="G306" i="28"/>
  <c r="G305" i="28"/>
  <c r="G304" i="28"/>
  <c r="G303" i="28"/>
  <c r="G302" i="28"/>
  <c r="G301" i="28"/>
  <c r="G300" i="28"/>
  <c r="G299" i="28"/>
  <c r="G298" i="28"/>
  <c r="G297" i="28"/>
  <c r="G296" i="28"/>
  <c r="G295" i="28"/>
  <c r="G294" i="28"/>
  <c r="G293" i="28"/>
  <c r="G292" i="28"/>
  <c r="G291" i="28"/>
  <c r="G290" i="28"/>
  <c r="G289" i="28"/>
  <c r="G288" i="28"/>
  <c r="G287" i="28"/>
  <c r="G286" i="28"/>
  <c r="G285" i="28"/>
  <c r="G284" i="28"/>
  <c r="G283" i="28"/>
  <c r="G282" i="28"/>
  <c r="G281" i="28"/>
  <c r="G280" i="28"/>
  <c r="G279" i="28"/>
  <c r="G278" i="28"/>
  <c r="G277" i="28"/>
  <c r="G276" i="28"/>
  <c r="G275" i="28"/>
  <c r="G274" i="28"/>
  <c r="G273" i="28"/>
  <c r="G272" i="28"/>
  <c r="G271" i="28"/>
  <c r="G270" i="28"/>
  <c r="G269" i="28"/>
  <c r="G268" i="28"/>
  <c r="G267" i="28"/>
  <c r="G266" i="28"/>
  <c r="G265" i="28"/>
  <c r="G264" i="28"/>
  <c r="G263" i="28"/>
  <c r="G262" i="28"/>
  <c r="G261" i="28"/>
  <c r="G260" i="28"/>
  <c r="G259" i="28"/>
  <c r="G258" i="28"/>
  <c r="G257" i="28"/>
  <c r="G256" i="28"/>
  <c r="G255" i="28"/>
  <c r="G254" i="28"/>
  <c r="G253" i="28"/>
  <c r="G252" i="28"/>
  <c r="G251" i="28"/>
  <c r="G250" i="28"/>
  <c r="G249" i="28"/>
  <c r="G248" i="28"/>
  <c r="G247" i="28"/>
  <c r="G246" i="28"/>
  <c r="G245" i="28"/>
  <c r="G244" i="28"/>
  <c r="G243" i="28"/>
  <c r="G242" i="28"/>
  <c r="G241" i="28"/>
  <c r="G240" i="28"/>
  <c r="G239" i="28"/>
  <c r="G238" i="28"/>
  <c r="G237" i="28"/>
  <c r="G236" i="28"/>
  <c r="G235" i="28"/>
  <c r="G234" i="28"/>
  <c r="G233" i="28"/>
  <c r="G232" i="28"/>
  <c r="G231" i="28"/>
  <c r="G230" i="28"/>
  <c r="G229" i="28"/>
  <c r="G228" i="28"/>
  <c r="G227" i="28"/>
  <c r="G226" i="28"/>
  <c r="G225" i="28"/>
  <c r="G224" i="28"/>
  <c r="G223" i="28"/>
  <c r="G222" i="28"/>
  <c r="G221" i="28"/>
  <c r="G220" i="28"/>
  <c r="G219" i="28"/>
  <c r="G218" i="28"/>
  <c r="G217" i="28"/>
  <c r="G216" i="28"/>
  <c r="G215" i="28"/>
  <c r="G214" i="28"/>
  <c r="G213" i="28"/>
  <c r="G212" i="28"/>
  <c r="G211" i="28"/>
  <c r="G210" i="28"/>
  <c r="G209" i="28"/>
  <c r="G208" i="28"/>
  <c r="G207" i="28"/>
  <c r="G206" i="28"/>
  <c r="G205" i="28"/>
  <c r="G204" i="28"/>
  <c r="G203" i="28"/>
  <c r="G202" i="28"/>
  <c r="G201" i="28"/>
  <c r="G200" i="28"/>
  <c r="G199" i="28"/>
  <c r="G198" i="28"/>
  <c r="G197" i="28"/>
  <c r="G196" i="28"/>
  <c r="G195" i="28"/>
  <c r="G194" i="28"/>
  <c r="G193" i="28"/>
  <c r="G192" i="28"/>
  <c r="G191" i="28"/>
  <c r="G190" i="28"/>
  <c r="G189" i="28"/>
  <c r="G188" i="28"/>
  <c r="G187" i="28"/>
  <c r="G186" i="28"/>
  <c r="G185" i="28"/>
  <c r="G184" i="28"/>
  <c r="G183" i="28"/>
  <c r="G182" i="28"/>
  <c r="G181" i="28"/>
  <c r="G180" i="28"/>
  <c r="G179" i="28"/>
  <c r="G178" i="28"/>
  <c r="G177" i="28"/>
  <c r="G176" i="28"/>
  <c r="G175" i="28"/>
  <c r="G174" i="28"/>
  <c r="G173" i="28"/>
  <c r="G172" i="28"/>
  <c r="G171" i="28"/>
  <c r="G170" i="28"/>
  <c r="G169" i="28"/>
  <c r="G168" i="28"/>
  <c r="G167" i="28"/>
  <c r="G166" i="28"/>
  <c r="G165" i="28"/>
  <c r="G164" i="28"/>
  <c r="G163" i="28"/>
  <c r="G162" i="28"/>
  <c r="G161" i="28"/>
  <c r="G160" i="28"/>
  <c r="G159" i="28"/>
  <c r="G158" i="28"/>
  <c r="G157" i="28"/>
  <c r="G156" i="28"/>
  <c r="G155" i="28"/>
  <c r="G154" i="28"/>
  <c r="G153" i="28"/>
  <c r="G152" i="28"/>
  <c r="G151" i="28"/>
  <c r="G150" i="28"/>
  <c r="G149" i="28"/>
  <c r="G148" i="28"/>
  <c r="G147" i="28"/>
  <c r="G146" i="28"/>
  <c r="G145" i="28"/>
  <c r="G144" i="28"/>
  <c r="G143" i="28"/>
  <c r="G142" i="28"/>
  <c r="G141" i="28"/>
  <c r="G140" i="28"/>
  <c r="G139" i="28"/>
  <c r="G138" i="28"/>
  <c r="G137" i="28"/>
  <c r="G136" i="28"/>
  <c r="G135" i="28"/>
  <c r="G134" i="28"/>
  <c r="G133" i="28"/>
  <c r="F61" i="138" s="1"/>
  <c r="G132" i="28"/>
  <c r="D61" i="138" s="1"/>
  <c r="G131" i="28"/>
  <c r="B61" i="138" s="1"/>
  <c r="G130" i="28"/>
  <c r="G129" i="28"/>
  <c r="G128" i="28"/>
  <c r="G127" i="28"/>
  <c r="G126" i="28"/>
  <c r="G125" i="28"/>
  <c r="G124" i="28"/>
  <c r="G123" i="28"/>
  <c r="G122" i="28"/>
  <c r="S42" i="138" s="1"/>
  <c r="G121" i="28"/>
  <c r="Q42" i="138" s="1"/>
  <c r="G120" i="28"/>
  <c r="O42" i="138" s="1"/>
  <c r="G119" i="28"/>
  <c r="G118" i="28"/>
  <c r="G117" i="28"/>
  <c r="G116" i="28"/>
  <c r="G115" i="28"/>
  <c r="G114" i="28"/>
  <c r="G113" i="28"/>
  <c r="I40" i="138" s="1"/>
  <c r="G112" i="28"/>
  <c r="B40" i="138" s="1"/>
  <c r="G111" i="28"/>
  <c r="B38" i="138" s="1"/>
  <c r="G110" i="28"/>
  <c r="B37" i="138" s="1"/>
  <c r="G109" i="28"/>
  <c r="G108" i="28"/>
  <c r="Y15" i="138" s="1"/>
  <c r="G107" i="28"/>
  <c r="G106" i="28"/>
  <c r="G105" i="28"/>
  <c r="G13" i="138" s="1"/>
  <c r="G104" i="28"/>
  <c r="G12" i="138" s="1"/>
  <c r="G103" i="28"/>
  <c r="G102" i="28"/>
  <c r="B12" i="138" s="1"/>
  <c r="G101" i="28"/>
  <c r="B6" i="138" s="1"/>
  <c r="G100" i="28"/>
  <c r="B3" i="138" s="1"/>
  <c r="G99" i="28"/>
  <c r="G98" i="28"/>
  <c r="G97" i="28"/>
  <c r="G96" i="28"/>
  <c r="R19" i="138" s="1"/>
  <c r="G95" i="28"/>
  <c r="B19" i="138" s="1"/>
  <c r="G94" i="28"/>
  <c r="G93" i="28"/>
  <c r="G92" i="28"/>
  <c r="G91" i="28"/>
  <c r="G90" i="28"/>
  <c r="M42" i="138" s="1"/>
  <c r="G89" i="28"/>
  <c r="K42" i="138" s="1"/>
  <c r="G88" i="28"/>
  <c r="I42" i="138" s="1"/>
  <c r="G87" i="28"/>
  <c r="G42" i="138" s="1"/>
  <c r="G86" i="28"/>
  <c r="E42" i="138" s="1"/>
  <c r="G85" i="28"/>
  <c r="B20" i="138" s="1"/>
  <c r="G84" i="28"/>
  <c r="G83" i="28"/>
  <c r="G82" i="28"/>
  <c r="G81" i="28"/>
  <c r="G80" i="28"/>
  <c r="G79" i="28"/>
  <c r="G78" i="28"/>
  <c r="G77" i="28"/>
  <c r="G76" i="28"/>
  <c r="G75" i="28"/>
  <c r="G74" i="28"/>
  <c r="G73" i="28"/>
  <c r="G72" i="28"/>
  <c r="G71" i="28"/>
  <c r="G70" i="28"/>
  <c r="G69" i="28"/>
  <c r="G68" i="28"/>
  <c r="G67" i="28"/>
  <c r="G66" i="28"/>
  <c r="G65" i="28"/>
  <c r="G64" i="28"/>
  <c r="G63" i="28"/>
  <c r="G62" i="28"/>
  <c r="G61" i="28"/>
  <c r="G60" i="28"/>
  <c r="G59" i="28"/>
  <c r="G58" i="28"/>
  <c r="G57" i="28"/>
  <c r="G56" i="28"/>
  <c r="AF13" i="138" s="1"/>
  <c r="G55" i="28"/>
  <c r="G54" i="28"/>
  <c r="G53" i="28"/>
  <c r="G52" i="28"/>
  <c r="G51" i="28"/>
  <c r="G50" i="28"/>
  <c r="G49" i="28"/>
  <c r="AF6" i="139" s="1"/>
  <c r="G48" i="28"/>
  <c r="G47" i="28"/>
  <c r="G46" i="28"/>
  <c r="AC54" i="139" s="1"/>
  <c r="G45" i="28"/>
  <c r="M54" i="139" s="1"/>
  <c r="G44" i="28"/>
  <c r="B54" i="139" s="1"/>
  <c r="G43" i="28"/>
  <c r="G42" i="28"/>
  <c r="G41" i="28"/>
  <c r="G40" i="28"/>
  <c r="G39" i="28"/>
  <c r="G38" i="28"/>
  <c r="G37" i="28"/>
  <c r="AG5" i="135" s="1"/>
  <c r="G36" i="28"/>
  <c r="G35" i="28"/>
  <c r="G34" i="28"/>
  <c r="Y3" i="135" s="1"/>
  <c r="G33" i="28"/>
  <c r="O3" i="135" s="1"/>
  <c r="G32" i="28"/>
  <c r="F3" i="135" s="1"/>
  <c r="G31" i="28"/>
  <c r="D2" i="135" s="1"/>
  <c r="G30" i="28"/>
  <c r="G29" i="28"/>
  <c r="B1" i="138" s="1"/>
  <c r="G28" i="28"/>
  <c r="G27" i="28"/>
  <c r="G26" i="28"/>
  <c r="G25" i="28"/>
  <c r="J6" i="139" l="1"/>
  <c r="B22" i="138"/>
  <c r="B44" i="138"/>
  <c r="N6" i="139"/>
  <c r="B24" i="138"/>
  <c r="B46" i="138"/>
  <c r="V6" i="139"/>
  <c r="B28" i="138"/>
  <c r="B50" i="138"/>
  <c r="X6" i="139"/>
  <c r="B29" i="138"/>
  <c r="B51" i="138"/>
  <c r="R6" i="139"/>
  <c r="B26" i="138"/>
  <c r="B48" i="138"/>
  <c r="T6" i="139"/>
  <c r="B27" i="138"/>
  <c r="B49" i="138"/>
  <c r="AB6" i="139"/>
  <c r="B53" i="138"/>
  <c r="B31" i="138"/>
  <c r="Z6" i="139"/>
  <c r="B52" i="138"/>
  <c r="B30" i="138"/>
  <c r="AD6" i="139"/>
  <c r="B54" i="138"/>
  <c r="B32" i="138"/>
  <c r="P6" i="139"/>
  <c r="B25" i="138"/>
  <c r="B47" i="138"/>
  <c r="H6" i="139"/>
  <c r="B43" i="138"/>
  <c r="B21" i="138"/>
  <c r="L6" i="139"/>
  <c r="B23" i="138"/>
  <c r="B45" i="138"/>
  <c r="E73" i="144"/>
  <c r="I62" i="144"/>
  <c r="E72" i="144"/>
  <c r="H62" i="144"/>
  <c r="F62" i="144"/>
  <c r="E69" i="144"/>
  <c r="E71" i="144"/>
  <c r="G62" i="144"/>
  <c r="G68" i="144" s="1"/>
  <c r="E70" i="144"/>
  <c r="E64" i="144"/>
  <c r="E63" i="144"/>
  <c r="E65" i="144"/>
  <c r="E67" i="144"/>
  <c r="E68" i="144"/>
  <c r="E66" i="144"/>
  <c r="W30" i="135"/>
  <c r="P30" i="135"/>
  <c r="G18" i="135"/>
  <c r="F18" i="135"/>
  <c r="H16" i="135"/>
  <c r="G17" i="135"/>
  <c r="D22" i="135"/>
  <c r="O12" i="135"/>
  <c r="D24" i="135"/>
  <c r="G52" i="135"/>
  <c r="D53" i="135"/>
  <c r="F12" i="135"/>
  <c r="D30" i="135"/>
  <c r="D39" i="135"/>
  <c r="D54" i="135"/>
  <c r="D33" i="135"/>
  <c r="D62" i="135"/>
  <c r="D23" i="135"/>
  <c r="D28" i="135"/>
  <c r="D37" i="135"/>
  <c r="D38" i="135"/>
  <c r="F30" i="135"/>
  <c r="D40" i="135"/>
  <c r="D35" i="135"/>
  <c r="D64" i="135"/>
  <c r="AF64" i="135"/>
  <c r="D29" i="135"/>
  <c r="D56" i="135"/>
  <c r="D18" i="135"/>
  <c r="D42" i="135"/>
  <c r="F56" i="135"/>
  <c r="D58" i="135"/>
  <c r="P12" i="135"/>
  <c r="P64" i="135"/>
  <c r="D17" i="135"/>
  <c r="D41" i="135"/>
  <c r="D20" i="135"/>
  <c r="P56" i="135"/>
  <c r="D32" i="135"/>
  <c r="D34" i="135"/>
  <c r="D10" i="135"/>
  <c r="D52" i="135"/>
  <c r="D36" i="135"/>
  <c r="D21" i="135"/>
  <c r="D31" i="135"/>
  <c r="AD56" i="135"/>
  <c r="AF12" i="138"/>
  <c r="O13" i="138"/>
  <c r="O12" i="138"/>
  <c r="D9" i="135"/>
  <c r="D8" i="135"/>
  <c r="B65" i="138"/>
  <c r="D63" i="138"/>
  <c r="AI20" i="291" l="1" a="1"/>
  <c r="AI20" i="291" s="1"/>
  <c r="AJ20" i="287" a="1"/>
  <c r="AJ20" i="287" s="1"/>
  <c r="AJ20" i="289" a="1"/>
  <c r="AJ20" i="289" s="1"/>
  <c r="I71" i="144"/>
  <c r="G71" i="144"/>
  <c r="H71" i="144"/>
  <c r="G19" i="135"/>
  <c r="G65" i="144"/>
  <c r="I63" i="144"/>
  <c r="H64" i="144"/>
  <c r="I66" i="144"/>
  <c r="H69" i="144"/>
  <c r="I69" i="144"/>
  <c r="F70" i="144"/>
  <c r="G73" i="144"/>
  <c r="G72" i="144"/>
  <c r="G66" i="144"/>
  <c r="I70" i="144"/>
  <c r="F66" i="144"/>
  <c r="F64" i="144"/>
  <c r="I64" i="144"/>
  <c r="F67" i="144"/>
  <c r="H65" i="144"/>
  <c r="H73" i="144"/>
  <c r="I67" i="144"/>
  <c r="I65" i="144"/>
  <c r="F69" i="144"/>
  <c r="F73" i="144"/>
  <c r="J62" i="144"/>
  <c r="D62" i="144"/>
  <c r="G70" i="144"/>
  <c r="F63" i="144"/>
  <c r="H68" i="144"/>
  <c r="I73" i="144"/>
  <c r="F72" i="144"/>
  <c r="H63" i="144"/>
  <c r="H67" i="144"/>
  <c r="I68" i="144"/>
  <c r="H66" i="144"/>
  <c r="G67" i="144"/>
  <c r="G63" i="144"/>
  <c r="F71" i="144"/>
  <c r="G69" i="144"/>
  <c r="G64" i="144"/>
  <c r="F68" i="144"/>
  <c r="I72" i="144"/>
  <c r="F65" i="144"/>
  <c r="E74" i="144"/>
  <c r="E55" i="138" s="1"/>
  <c r="H70" i="144"/>
  <c r="H72" i="144"/>
  <c r="F19" i="135"/>
  <c r="I16" i="135"/>
  <c r="H17" i="135"/>
  <c r="H14" i="135"/>
  <c r="AL24" i="135"/>
  <c r="AL25" i="135"/>
  <c r="J80" i="145" s="1"/>
  <c r="V80" i="145" s="1"/>
  <c r="AL23" i="135"/>
  <c r="J79" i="145" s="1"/>
  <c r="AL37" i="135"/>
  <c r="J163" i="145" s="1"/>
  <c r="AL38" i="135"/>
  <c r="J165" i="145" s="1"/>
  <c r="AL39" i="135"/>
  <c r="J191" i="145" s="1"/>
  <c r="AL40" i="135"/>
  <c r="AL41" i="135"/>
  <c r="AL42" i="135"/>
  <c r="J195" i="145" s="1"/>
  <c r="AL44" i="135"/>
  <c r="J197" i="145" s="1"/>
  <c r="V197" i="145" s="1"/>
  <c r="AL45" i="135"/>
  <c r="J198" i="145" s="1"/>
  <c r="AL46" i="135"/>
  <c r="J199" i="145" s="1"/>
  <c r="AL47" i="135"/>
  <c r="J200" i="145" s="1"/>
  <c r="AL49" i="135"/>
  <c r="J208" i="145" s="1"/>
  <c r="J96" i="145" s="1"/>
  <c r="AL50" i="135"/>
  <c r="J209" i="145" s="1"/>
  <c r="AL36" i="135"/>
  <c r="J183" i="145" s="1"/>
  <c r="J95" i="145" s="1"/>
  <c r="E393" i="143"/>
  <c r="E392" i="143"/>
  <c r="E391" i="143"/>
  <c r="E390" i="143"/>
  <c r="E389" i="143"/>
  <c r="E388" i="143"/>
  <c r="E387" i="143"/>
  <c r="E386" i="143"/>
  <c r="E385" i="143"/>
  <c r="E384" i="143"/>
  <c r="E383" i="143"/>
  <c r="E382" i="143"/>
  <c r="AH20" i="282" l="1" a="1"/>
  <c r="AH20" i="282" s="1"/>
  <c r="AJ20" i="290" a="1"/>
  <c r="AJ20" i="290" s="1"/>
  <c r="AF20" i="284" a="1"/>
  <c r="AF20" i="284" s="1"/>
  <c r="AH20" i="281" a="1"/>
  <c r="AH20" i="281" s="1"/>
  <c r="AF20" i="286" a="1"/>
  <c r="AF20" i="286" s="1"/>
  <c r="AF20" i="285" a="1"/>
  <c r="AF20" i="285" s="1"/>
  <c r="AG20" i="287" a="1"/>
  <c r="AG20" i="287" s="1"/>
  <c r="N20" i="288" a="1"/>
  <c r="N20" i="288" s="1"/>
  <c r="Y20" i="290" a="1"/>
  <c r="Y20" i="290" s="1"/>
  <c r="AA20" i="291" a="1"/>
  <c r="AA20" i="291" s="1"/>
  <c r="N49" i="145" a="1"/>
  <c r="N49" i="145" s="1"/>
  <c r="M49" i="145" a="1"/>
  <c r="M49" i="145" s="1"/>
  <c r="T49" i="145" a="1"/>
  <c r="T49" i="145" s="1"/>
  <c r="U49" i="145" a="1"/>
  <c r="U49" i="145" s="1"/>
  <c r="R49" i="145" a="1"/>
  <c r="R49" i="145" s="1"/>
  <c r="AI20" i="286" a="1"/>
  <c r="AI20" i="286" s="1"/>
  <c r="P49" i="145" a="1"/>
  <c r="P49" i="145" s="1"/>
  <c r="K49" i="145" a="1"/>
  <c r="K49" i="145" s="1"/>
  <c r="AA20" i="287" a="1"/>
  <c r="AA20" i="287" s="1"/>
  <c r="Q49" i="145" a="1"/>
  <c r="Q49" i="145" s="1"/>
  <c r="S49" i="145" a="1"/>
  <c r="S49" i="145" s="1"/>
  <c r="M20" i="282" a="1"/>
  <c r="M20" i="282" s="1"/>
  <c r="U20" i="291" a="1"/>
  <c r="U20" i="291" s="1"/>
  <c r="V20" i="290" a="1"/>
  <c r="V20" i="290" s="1"/>
  <c r="V20" i="287" a="1"/>
  <c r="V20" i="287" s="1"/>
  <c r="AE20" i="282" a="1"/>
  <c r="AE20" i="282" s="1"/>
  <c r="AB20" i="290" a="1"/>
  <c r="AB20" i="290" s="1"/>
  <c r="AB20" i="289" a="1"/>
  <c r="AB20" i="289" s="1"/>
  <c r="AC20" i="291" a="1"/>
  <c r="AC20" i="291" s="1"/>
  <c r="AD20" i="290" a="1"/>
  <c r="AD20" i="290" s="1"/>
  <c r="AF20" i="291" a="1"/>
  <c r="AF20" i="291" s="1"/>
  <c r="AG20" i="290" a="1"/>
  <c r="AG20" i="290" s="1"/>
  <c r="O49" i="145" a="1"/>
  <c r="O49" i="145" s="1"/>
  <c r="S20" i="290" a="1"/>
  <c r="S20" i="290" s="1"/>
  <c r="U20" i="283" a="1"/>
  <c r="U20" i="283" s="1"/>
  <c r="Z20" i="281" a="1"/>
  <c r="Z20" i="281" s="1"/>
  <c r="L49" i="145" a="1"/>
  <c r="L49" i="145" s="1"/>
  <c r="P20" i="282" a="1"/>
  <c r="P20" i="282" s="1"/>
  <c r="U20" i="284" a="1"/>
  <c r="U20" i="284" s="1"/>
  <c r="M20" i="284" a="1"/>
  <c r="M20" i="284" s="1"/>
  <c r="P20" i="285" a="1"/>
  <c r="P20" i="285" s="1"/>
  <c r="V20" i="289" a="1"/>
  <c r="V20" i="289" s="1"/>
  <c r="Y20" i="287" a="1"/>
  <c r="Y20" i="287" s="1"/>
  <c r="M20" i="286" a="1"/>
  <c r="M20" i="286" s="1"/>
  <c r="M20" i="283" a="1"/>
  <c r="M20" i="283" s="1"/>
  <c r="S20" i="291" a="1"/>
  <c r="S20" i="291" s="1"/>
  <c r="U20" i="282" a="1"/>
  <c r="U20" i="282" s="1"/>
  <c r="Z20" i="282" a="1"/>
  <c r="Z20" i="282" s="1"/>
  <c r="Q20" i="289" a="1"/>
  <c r="Q20" i="289" s="1"/>
  <c r="T20" i="281" a="1"/>
  <c r="T20" i="281" s="1"/>
  <c r="Y20" i="288" a="1"/>
  <c r="Y20" i="288" s="1"/>
  <c r="O20" i="291" a="1"/>
  <c r="O20" i="291" s="1"/>
  <c r="U20" i="286" a="1"/>
  <c r="U20" i="286" s="1"/>
  <c r="P20" i="284" a="1"/>
  <c r="P20" i="284" s="1"/>
  <c r="T20" i="282" a="1"/>
  <c r="T20" i="282" s="1"/>
  <c r="X20" i="286" a="1"/>
  <c r="X20" i="286" s="1"/>
  <c r="O20" i="284" a="1"/>
  <c r="O20" i="284" s="1"/>
  <c r="S20" i="287" a="1"/>
  <c r="S20" i="287" s="1"/>
  <c r="U20" i="281" a="1"/>
  <c r="U20" i="281" s="1"/>
  <c r="P20" i="289" a="1"/>
  <c r="P20" i="289" s="1"/>
  <c r="U20" i="285" a="1"/>
  <c r="U20" i="285" s="1"/>
  <c r="M20" i="285" a="1"/>
  <c r="M20" i="285" s="1"/>
  <c r="Q20" i="290" a="1"/>
  <c r="Q20" i="290" s="1"/>
  <c r="T20" i="290" a="1"/>
  <c r="T20" i="290" s="1"/>
  <c r="Y20" i="289" a="1"/>
  <c r="Y20" i="289" s="1"/>
  <c r="AC20" i="284" a="1"/>
  <c r="AC20" i="284" s="1"/>
  <c r="AC20" i="286" a="1"/>
  <c r="AC20" i="286" s="1"/>
  <c r="AC20" i="285" a="1"/>
  <c r="AC20" i="285" s="1"/>
  <c r="AD20" i="288" a="1"/>
  <c r="AD20" i="288" s="1"/>
  <c r="AG20" i="289" a="1"/>
  <c r="AG20" i="289" s="1"/>
  <c r="AC20" i="282" a="1"/>
  <c r="AC20" i="282" s="1"/>
  <c r="AD20" i="289" a="1"/>
  <c r="AD20" i="289" s="1"/>
  <c r="AC20" i="283" a="1"/>
  <c r="AC20" i="283" s="1"/>
  <c r="AC20" i="281" a="1"/>
  <c r="AC20" i="281" s="1"/>
  <c r="AE20" i="283" a="1"/>
  <c r="AE20" i="283" s="1"/>
  <c r="AD20" i="287" a="1"/>
  <c r="AD20" i="287" s="1"/>
  <c r="AG20" i="288" a="1"/>
  <c r="AG20" i="288" s="1"/>
  <c r="F20" i="281" a="1"/>
  <c r="F20" i="281" s="1"/>
  <c r="H20" i="287" a="1"/>
  <c r="H20" i="287" s="1"/>
  <c r="H20" i="290" a="1"/>
  <c r="H20" i="290" s="1"/>
  <c r="H20" i="291" a="1"/>
  <c r="H20" i="291" s="1"/>
  <c r="H20" i="284" a="1"/>
  <c r="H20" i="284" s="1"/>
  <c r="J20" i="290" a="1"/>
  <c r="J20" i="290" s="1"/>
  <c r="J20" i="286" a="1"/>
  <c r="J20" i="286" s="1"/>
  <c r="J20" i="282" a="1"/>
  <c r="J20" i="282" s="1"/>
  <c r="K20" i="290" a="1"/>
  <c r="K20" i="290" s="1"/>
  <c r="M20" i="288" a="1"/>
  <c r="M20" i="288" s="1"/>
  <c r="I20" i="287" a="1"/>
  <c r="I20" i="287" s="1"/>
  <c r="H20" i="286" a="1"/>
  <c r="H20" i="286" s="1"/>
  <c r="H20" i="285" a="1"/>
  <c r="H20" i="285" s="1"/>
  <c r="H20" i="283" a="1"/>
  <c r="H20" i="283" s="1"/>
  <c r="H20" i="282" a="1"/>
  <c r="H20" i="282" s="1"/>
  <c r="H20" i="281" a="1"/>
  <c r="H20" i="281" s="1"/>
  <c r="I20" i="289" a="1"/>
  <c r="I20" i="289" s="1"/>
  <c r="I20" i="291" a="1"/>
  <c r="I20" i="291" s="1"/>
  <c r="J20" i="289" a="1"/>
  <c r="J20" i="289" s="1"/>
  <c r="J20" i="288" a="1"/>
  <c r="J20" i="288" s="1"/>
  <c r="J20" i="287" a="1"/>
  <c r="J20" i="287" s="1"/>
  <c r="I20" i="286" a="1"/>
  <c r="I20" i="286" s="1"/>
  <c r="I20" i="285" a="1"/>
  <c r="I20" i="285" s="1"/>
  <c r="I20" i="284" a="1"/>
  <c r="I20" i="284" s="1"/>
  <c r="I20" i="283" a="1"/>
  <c r="I20" i="283" s="1"/>
  <c r="I20" i="282" a="1"/>
  <c r="I20" i="282" s="1"/>
  <c r="I20" i="281" a="1"/>
  <c r="I20" i="281" s="1"/>
  <c r="K20" i="287" a="1"/>
  <c r="K20" i="287" s="1"/>
  <c r="J20" i="284" a="1"/>
  <c r="J20" i="284" s="1"/>
  <c r="J20" i="281" a="1"/>
  <c r="J20" i="281" s="1"/>
  <c r="K20" i="289" a="1"/>
  <c r="K20" i="289" s="1"/>
  <c r="L20" i="289" a="1"/>
  <c r="L20" i="289" s="1"/>
  <c r="L20" i="287" a="1"/>
  <c r="L20" i="287" s="1"/>
  <c r="K20" i="286" a="1"/>
  <c r="K20" i="286" s="1"/>
  <c r="K20" i="284" a="1"/>
  <c r="K20" i="284" s="1"/>
  <c r="K20" i="285" a="1"/>
  <c r="K20" i="285" s="1"/>
  <c r="K20" i="283" a="1"/>
  <c r="K20" i="283" s="1"/>
  <c r="K20" i="282" a="1"/>
  <c r="K20" i="282" s="1"/>
  <c r="K20" i="281" a="1"/>
  <c r="K20" i="281" s="1"/>
  <c r="L20" i="288" a="1"/>
  <c r="L20" i="288" s="1"/>
  <c r="L20" i="290" a="1"/>
  <c r="L20" i="290" s="1"/>
  <c r="L20" i="291" a="1"/>
  <c r="L20" i="291" s="1"/>
  <c r="M20" i="289" a="1"/>
  <c r="M20" i="289" s="1"/>
  <c r="M20" i="287" a="1"/>
  <c r="M20" i="287" s="1"/>
  <c r="L20" i="285" a="1"/>
  <c r="L20" i="285" s="1"/>
  <c r="L20" i="283" a="1"/>
  <c r="L20" i="283" s="1"/>
  <c r="L20" i="282" a="1"/>
  <c r="L20" i="282" s="1"/>
  <c r="L20" i="281" a="1"/>
  <c r="L20" i="281" s="1"/>
  <c r="L20" i="286" a="1"/>
  <c r="L20" i="286" s="1"/>
  <c r="M20" i="290" a="1"/>
  <c r="M20" i="290" s="1"/>
  <c r="M20" i="281" a="1"/>
  <c r="M20" i="281" s="1"/>
  <c r="N20" i="287" a="1"/>
  <c r="N20" i="287" s="1"/>
  <c r="N20" i="290" a="1"/>
  <c r="N20" i="290" s="1"/>
  <c r="N20" i="291" a="1"/>
  <c r="N20" i="291" s="1"/>
  <c r="N20" i="284" a="1"/>
  <c r="N20" i="284" s="1"/>
  <c r="O20" i="290" a="1"/>
  <c r="O20" i="290" s="1"/>
  <c r="O20" i="289" a="1"/>
  <c r="O20" i="289" s="1"/>
  <c r="O20" i="287" a="1"/>
  <c r="O20" i="287" s="1"/>
  <c r="N20" i="286" a="1"/>
  <c r="N20" i="286" s="1"/>
  <c r="O20" i="288" a="1"/>
  <c r="O20" i="288" s="1"/>
  <c r="N20" i="285" a="1"/>
  <c r="N20" i="285" s="1"/>
  <c r="N20" i="281" a="1"/>
  <c r="N20" i="281" s="1"/>
  <c r="N20" i="283" a="1"/>
  <c r="N20" i="283" s="1"/>
  <c r="N20" i="282" a="1"/>
  <c r="N20" i="282" s="1"/>
  <c r="P20" i="290" a="1"/>
  <c r="P20" i="290" s="1"/>
  <c r="P20" i="288" a="1"/>
  <c r="P20" i="288" s="1"/>
  <c r="P20" i="287" a="1"/>
  <c r="P20" i="287" s="1"/>
  <c r="O20" i="286" a="1"/>
  <c r="O20" i="286" s="1"/>
  <c r="O20" i="285" a="1"/>
  <c r="O20" i="285" s="1"/>
  <c r="O20" i="283" a="1"/>
  <c r="O20" i="283" s="1"/>
  <c r="O20" i="282" a="1"/>
  <c r="O20" i="282" s="1"/>
  <c r="P20" i="281" a="1"/>
  <c r="P20" i="281" s="1"/>
  <c r="Q20" i="287" a="1"/>
  <c r="Q20" i="287" s="1"/>
  <c r="P20" i="291" a="1"/>
  <c r="P20" i="291" s="1"/>
  <c r="Q20" i="288" a="1"/>
  <c r="Q20" i="288" s="1"/>
  <c r="P20" i="286" a="1"/>
  <c r="P20" i="286" s="1"/>
  <c r="P20" i="283" a="1"/>
  <c r="P20" i="283" s="1"/>
  <c r="Q20" i="291" a="1"/>
  <c r="Q20" i="291" s="1"/>
  <c r="R20" i="290" a="1"/>
  <c r="R20" i="290" s="1"/>
  <c r="R20" i="289" a="1"/>
  <c r="R20" i="289" s="1"/>
  <c r="Q20" i="285" a="1"/>
  <c r="Q20" i="285" s="1"/>
  <c r="R20" i="288" a="1"/>
  <c r="R20" i="288" s="1"/>
  <c r="R20" i="287" a="1"/>
  <c r="R20" i="287" s="1"/>
  <c r="Q20" i="286" a="1"/>
  <c r="Q20" i="286" s="1"/>
  <c r="Q20" i="284" a="1"/>
  <c r="Q20" i="284" s="1"/>
  <c r="Q20" i="283" a="1"/>
  <c r="Q20" i="283" s="1"/>
  <c r="Q20" i="282" a="1"/>
  <c r="Q20" i="282" s="1"/>
  <c r="Q20" i="281" a="1"/>
  <c r="Q20" i="281" s="1"/>
  <c r="R20" i="291" a="1"/>
  <c r="R20" i="291" s="1"/>
  <c r="S20" i="288" a="1"/>
  <c r="S20" i="288" s="1"/>
  <c r="S20" i="289" a="1"/>
  <c r="S20" i="289" s="1"/>
  <c r="R20" i="286" a="1"/>
  <c r="R20" i="286" s="1"/>
  <c r="R20" i="282" a="1"/>
  <c r="R20" i="282" s="1"/>
  <c r="R20" i="283" a="1"/>
  <c r="R20" i="283" s="1"/>
  <c r="R20" i="281" a="1"/>
  <c r="R20" i="281" s="1"/>
  <c r="R20" i="285" a="1"/>
  <c r="R20" i="285" s="1"/>
  <c r="T20" i="289" a="1"/>
  <c r="T20" i="289" s="1"/>
  <c r="T20" i="288" a="1"/>
  <c r="T20" i="288" s="1"/>
  <c r="S20" i="286" a="1"/>
  <c r="S20" i="286" s="1"/>
  <c r="S20" i="285" a="1"/>
  <c r="S20" i="285" s="1"/>
  <c r="S20" i="284" a="1"/>
  <c r="S20" i="284" s="1"/>
  <c r="S20" i="282" a="1"/>
  <c r="S20" i="282" s="1"/>
  <c r="S20" i="281" a="1"/>
  <c r="S20" i="281" s="1"/>
  <c r="S20" i="283" a="1"/>
  <c r="S20" i="283" s="1"/>
  <c r="T20" i="287" a="1"/>
  <c r="T20" i="287" s="1"/>
  <c r="T20" i="291" a="1"/>
  <c r="T20" i="291" s="1"/>
  <c r="U20" i="290" a="1"/>
  <c r="U20" i="290" s="1"/>
  <c r="U20" i="289" a="1"/>
  <c r="U20" i="289" s="1"/>
  <c r="U20" i="288" a="1"/>
  <c r="U20" i="288" s="1"/>
  <c r="U20" i="287" a="1"/>
  <c r="U20" i="287" s="1"/>
  <c r="T20" i="286" a="1"/>
  <c r="T20" i="286" s="1"/>
  <c r="T20" i="285" a="1"/>
  <c r="T20" i="285" s="1"/>
  <c r="T20" i="284" a="1"/>
  <c r="T20" i="284" s="1"/>
  <c r="T20" i="283" a="1"/>
  <c r="T20" i="283" s="1"/>
  <c r="V20" i="288" a="1"/>
  <c r="V20" i="288" s="1"/>
  <c r="V20" i="291" a="1"/>
  <c r="V20" i="291" s="1"/>
  <c r="W20" i="289" a="1"/>
  <c r="W20" i="289" s="1"/>
  <c r="W20" i="288" a="1"/>
  <c r="W20" i="288" s="1"/>
  <c r="W20" i="287" a="1"/>
  <c r="W20" i="287" s="1"/>
  <c r="V20" i="286" a="1"/>
  <c r="V20" i="286" s="1"/>
  <c r="V20" i="285" a="1"/>
  <c r="V20" i="285" s="1"/>
  <c r="V20" i="284" a="1"/>
  <c r="V20" i="284" s="1"/>
  <c r="V20" i="283" a="1"/>
  <c r="V20" i="283" s="1"/>
  <c r="V20" i="281" a="1"/>
  <c r="V20" i="281" s="1"/>
  <c r="V20" i="282" a="1"/>
  <c r="V20" i="282" s="1"/>
  <c r="W20" i="290" a="1"/>
  <c r="W20" i="290" s="1"/>
  <c r="W20" i="291" a="1"/>
  <c r="W20" i="291" s="1"/>
  <c r="X20" i="290" a="1"/>
  <c r="X20" i="290" s="1"/>
  <c r="W20" i="285" a="1"/>
  <c r="W20" i="285" s="1"/>
  <c r="X20" i="289" a="1"/>
  <c r="X20" i="289" s="1"/>
  <c r="W20" i="284" a="1"/>
  <c r="W20" i="284" s="1"/>
  <c r="X20" i="288" a="1"/>
  <c r="X20" i="288" s="1"/>
  <c r="X20" i="287" a="1"/>
  <c r="X20" i="287" s="1"/>
  <c r="W20" i="286" a="1"/>
  <c r="W20" i="286" s="1"/>
  <c r="W20" i="282" a="1"/>
  <c r="W20" i="282" s="1"/>
  <c r="W20" i="283" a="1"/>
  <c r="W20" i="283" s="1"/>
  <c r="W20" i="281" a="1"/>
  <c r="W20" i="281" s="1"/>
  <c r="X20" i="291" a="1"/>
  <c r="X20" i="291" s="1"/>
  <c r="X20" i="285" a="1"/>
  <c r="X20" i="285" s="1"/>
  <c r="X20" i="284" a="1"/>
  <c r="X20" i="284" s="1"/>
  <c r="X20" i="283" a="1"/>
  <c r="X20" i="283" s="1"/>
  <c r="X20" i="282" a="1"/>
  <c r="X20" i="282" s="1"/>
  <c r="X20" i="281" a="1"/>
  <c r="X20" i="281" s="1"/>
  <c r="Y20" i="291" a="1"/>
  <c r="Y20" i="291" s="1"/>
  <c r="Z20" i="290" a="1"/>
  <c r="Z20" i="290" s="1"/>
  <c r="Z20" i="289" a="1"/>
  <c r="Z20" i="289" s="1"/>
  <c r="Z20" i="287" a="1"/>
  <c r="Z20" i="287" s="1"/>
  <c r="Z20" i="288" a="1"/>
  <c r="Z20" i="288" s="1"/>
  <c r="Y20" i="286" a="1"/>
  <c r="Y20" i="286" s="1"/>
  <c r="Y20" i="285" a="1"/>
  <c r="Y20" i="285" s="1"/>
  <c r="Y20" i="284" a="1"/>
  <c r="Y20" i="284" s="1"/>
  <c r="Y20" i="283" a="1"/>
  <c r="Y20" i="283" s="1"/>
  <c r="Y20" i="282" a="1"/>
  <c r="Y20" i="282" s="1"/>
  <c r="Y20" i="281" a="1"/>
  <c r="Y20" i="281" s="1"/>
  <c r="Z20" i="291" a="1"/>
  <c r="Z20" i="291" s="1"/>
  <c r="AA20" i="289" a="1"/>
  <c r="AA20" i="289" s="1"/>
  <c r="AA20" i="290" a="1"/>
  <c r="AA20" i="290" s="1"/>
  <c r="AA20" i="288" a="1"/>
  <c r="AA20" i="288" s="1"/>
  <c r="Z20" i="286" a="1"/>
  <c r="Z20" i="286" s="1"/>
  <c r="Z20" i="285" a="1"/>
  <c r="Z20" i="285" s="1"/>
  <c r="Z20" i="284" a="1"/>
  <c r="Z20" i="284" s="1"/>
  <c r="AB20" i="287" a="1"/>
  <c r="AB20" i="287" s="1"/>
  <c r="AB20" i="288" a="1"/>
  <c r="AB20" i="288" s="1"/>
  <c r="AA20" i="281" a="1"/>
  <c r="AA20" i="281" s="1"/>
  <c r="AA20" i="286" a="1"/>
  <c r="AA20" i="286" s="1"/>
  <c r="AA20" i="285" a="1"/>
  <c r="AA20" i="285" s="1"/>
  <c r="AA20" i="284" a="1"/>
  <c r="AA20" i="284" s="1"/>
  <c r="AA20" i="283" a="1"/>
  <c r="AA20" i="283" s="1"/>
  <c r="AA20" i="282" a="1"/>
  <c r="AA20" i="282" s="1"/>
  <c r="AB20" i="291" a="1"/>
  <c r="AB20" i="291" s="1"/>
  <c r="AC20" i="290" a="1"/>
  <c r="AC20" i="290" s="1"/>
  <c r="AC20" i="289" a="1"/>
  <c r="AC20" i="289" s="1"/>
  <c r="AC20" i="288" a="1"/>
  <c r="AC20" i="288" s="1"/>
  <c r="AC20" i="287" a="1"/>
  <c r="AC20" i="287" s="1"/>
  <c r="AB20" i="285" a="1"/>
  <c r="AB20" i="285" s="1"/>
  <c r="AB20" i="286" a="1"/>
  <c r="AB20" i="286" s="1"/>
  <c r="AB20" i="284" a="1"/>
  <c r="AB20" i="284" s="1"/>
  <c r="AB20" i="283" a="1"/>
  <c r="AB20" i="283" s="1"/>
  <c r="AB20" i="282" a="1"/>
  <c r="AB20" i="282" s="1"/>
  <c r="AD20" i="291" a="1"/>
  <c r="AD20" i="291" s="1"/>
  <c r="AE20" i="290" a="1"/>
  <c r="AE20" i="290" s="1"/>
  <c r="AE20" i="289" a="1"/>
  <c r="AE20" i="289" s="1"/>
  <c r="AE20" i="287" a="1"/>
  <c r="AE20" i="287" s="1"/>
  <c r="AE20" i="288" a="1"/>
  <c r="AE20" i="288" s="1"/>
  <c r="AD20" i="285" a="1"/>
  <c r="AD20" i="285" s="1"/>
  <c r="AD20" i="286" a="1"/>
  <c r="AD20" i="286" s="1"/>
  <c r="AD20" i="284" a="1"/>
  <c r="AD20" i="284" s="1"/>
  <c r="AD20" i="283" a="1"/>
  <c r="AD20" i="283" s="1"/>
  <c r="AD20" i="282" a="1"/>
  <c r="AD20" i="282" s="1"/>
  <c r="AD20" i="281" a="1"/>
  <c r="AD20" i="281" s="1"/>
  <c r="AE20" i="291" a="1"/>
  <c r="AE20" i="291" s="1"/>
  <c r="AF20" i="290" a="1"/>
  <c r="AF20" i="290" s="1"/>
  <c r="AF20" i="289" a="1"/>
  <c r="AF20" i="289" s="1"/>
  <c r="AF20" i="287" a="1"/>
  <c r="AF20" i="287" s="1"/>
  <c r="AF20" i="288" a="1"/>
  <c r="AF20" i="288" s="1"/>
  <c r="AE20" i="286" a="1"/>
  <c r="AE20" i="286" s="1"/>
  <c r="AE20" i="285" a="1"/>
  <c r="AE20" i="285" s="1"/>
  <c r="AE20" i="284" a="1"/>
  <c r="AE20" i="284" s="1"/>
  <c r="AE20" i="281" a="1"/>
  <c r="AE20" i="281" s="1"/>
  <c r="AF20" i="283" a="1"/>
  <c r="AF20" i="283" s="1"/>
  <c r="AF20" i="282" a="1"/>
  <c r="AF20" i="282" s="1"/>
  <c r="AF20" i="281" a="1"/>
  <c r="AF20" i="281" s="1"/>
  <c r="AG20" i="291" a="1"/>
  <c r="AG20" i="291" s="1"/>
  <c r="AH20" i="290" a="1"/>
  <c r="AH20" i="290" s="1"/>
  <c r="AH20" i="289" a="1"/>
  <c r="AH20" i="289" s="1"/>
  <c r="AH20" i="287" a="1"/>
  <c r="AH20" i="287" s="1"/>
  <c r="AG20" i="286" a="1"/>
  <c r="AG20" i="286" s="1"/>
  <c r="AG20" i="284" a="1"/>
  <c r="AG20" i="284" s="1"/>
  <c r="AG20" i="285" a="1"/>
  <c r="AG20" i="285" s="1"/>
  <c r="AG20" i="283" a="1"/>
  <c r="AG20" i="283" s="1"/>
  <c r="AG20" i="282" a="1"/>
  <c r="AG20" i="282" s="1"/>
  <c r="AG20" i="281" a="1"/>
  <c r="AG20" i="281" s="1"/>
  <c r="AH20" i="288" a="1"/>
  <c r="AH20" i="288" s="1"/>
  <c r="AH20" i="291" a="1"/>
  <c r="AH20" i="291" s="1"/>
  <c r="AI20" i="290" a="1"/>
  <c r="AI20" i="290" s="1"/>
  <c r="AI20" i="289" a="1"/>
  <c r="AI20" i="289" s="1"/>
  <c r="AI20" i="288" a="1"/>
  <c r="AI20" i="288" s="1"/>
  <c r="AI20" i="287" a="1"/>
  <c r="AI20" i="287" s="1"/>
  <c r="AH20" i="286" a="1"/>
  <c r="AH20" i="286" s="1"/>
  <c r="AH20" i="285" a="1"/>
  <c r="AH20" i="285" s="1"/>
  <c r="AH20" i="284" a="1"/>
  <c r="AH20" i="284" s="1"/>
  <c r="AI20" i="285" a="1"/>
  <c r="AI20" i="285" s="1"/>
  <c r="AI20" i="284" a="1"/>
  <c r="AI20" i="284" s="1"/>
  <c r="AI20" i="282" a="1"/>
  <c r="AI20" i="282" s="1"/>
  <c r="AI20" i="283" a="1"/>
  <c r="AI20" i="283" s="1"/>
  <c r="AI20" i="281" a="1"/>
  <c r="AI20" i="281" s="1"/>
  <c r="AJ20" i="288" a="1"/>
  <c r="AJ20" i="288" s="1"/>
  <c r="AJ20" i="291" a="1"/>
  <c r="AJ20" i="291" s="1"/>
  <c r="AJ20" i="286" a="1"/>
  <c r="AJ20" i="286" s="1"/>
  <c r="AJ20" i="285" a="1"/>
  <c r="AJ20" i="285" s="1"/>
  <c r="AJ20" i="284" a="1"/>
  <c r="AJ20" i="284" s="1"/>
  <c r="AJ20" i="283" a="1"/>
  <c r="AJ20" i="283" s="1"/>
  <c r="AJ20" i="282" a="1"/>
  <c r="AJ20" i="282" s="1"/>
  <c r="AJ20" i="281" a="1"/>
  <c r="AJ20" i="281" s="1"/>
  <c r="F20" i="285" a="1"/>
  <c r="F20" i="285" s="1"/>
  <c r="F20" i="283" a="1"/>
  <c r="F20" i="283" s="1"/>
  <c r="F20" i="282" a="1"/>
  <c r="F20" i="282" s="1"/>
  <c r="G20" i="281" a="1"/>
  <c r="G20" i="281" s="1"/>
  <c r="G20" i="284" a="1"/>
  <c r="G20" i="284" s="1"/>
  <c r="H20" i="288" a="1"/>
  <c r="H20" i="288" s="1"/>
  <c r="H20" i="289" a="1"/>
  <c r="H20" i="289" s="1"/>
  <c r="I20" i="290" a="1"/>
  <c r="I20" i="290" s="1"/>
  <c r="I20" i="288" a="1"/>
  <c r="I20" i="288" s="1"/>
  <c r="K20" i="288" a="1"/>
  <c r="K20" i="288" s="1"/>
  <c r="J20" i="285" a="1"/>
  <c r="J20" i="285" s="1"/>
  <c r="J20" i="283" a="1"/>
  <c r="J20" i="283" s="1"/>
  <c r="J20" i="291" a="1"/>
  <c r="J20" i="291" s="1"/>
  <c r="K20" i="291" a="1"/>
  <c r="K20" i="291" s="1"/>
  <c r="F20" i="288" a="1"/>
  <c r="F20" i="288" s="1"/>
  <c r="G20" i="290" a="1"/>
  <c r="G20" i="290" s="1"/>
  <c r="F20" i="290" a="1"/>
  <c r="F20" i="290" s="1"/>
  <c r="G20" i="289" a="1"/>
  <c r="G20" i="289" s="1"/>
  <c r="G20" i="288" a="1"/>
  <c r="G20" i="288" s="1"/>
  <c r="F20" i="289" a="1"/>
  <c r="F20" i="289" s="1"/>
  <c r="G20" i="287" a="1"/>
  <c r="G20" i="287" s="1"/>
  <c r="F20" i="287" a="1"/>
  <c r="F20" i="287" s="1"/>
  <c r="G20" i="291" a="1"/>
  <c r="G20" i="291" s="1"/>
  <c r="F20" i="291" a="1"/>
  <c r="F20" i="291" s="1"/>
  <c r="G20" i="286" a="1"/>
  <c r="G20" i="286" s="1"/>
  <c r="F20" i="286" a="1"/>
  <c r="F20" i="286" s="1"/>
  <c r="G20" i="285" a="1"/>
  <c r="G20" i="285" s="1"/>
  <c r="F20" i="284" a="1"/>
  <c r="F20" i="284" s="1"/>
  <c r="G20" i="283" a="1"/>
  <c r="G20" i="283" s="1"/>
  <c r="G20" i="282" a="1"/>
  <c r="G20" i="282" s="1"/>
  <c r="M20" i="291" a="1"/>
  <c r="M20" i="291" s="1"/>
  <c r="R20" i="284" a="1"/>
  <c r="R20" i="284" s="1"/>
  <c r="O20" i="281" a="1"/>
  <c r="O20" i="281" s="1"/>
  <c r="N20" i="289" a="1"/>
  <c r="N20" i="289" s="1"/>
  <c r="L20" i="284" a="1"/>
  <c r="L20" i="284" s="1"/>
  <c r="AB20" i="281" a="1"/>
  <c r="AB20" i="281" s="1"/>
  <c r="AH20" i="283" a="1"/>
  <c r="AH20" i="283" s="1"/>
  <c r="Z20" i="283" a="1"/>
  <c r="Z20" i="283" s="1"/>
  <c r="J82" i="145"/>
  <c r="V82" i="145" s="1"/>
  <c r="H24" i="139"/>
  <c r="V195" i="145"/>
  <c r="AF24" i="139" s="1"/>
  <c r="V200" i="145"/>
  <c r="H27" i="139"/>
  <c r="J47" i="145"/>
  <c r="J194" i="145"/>
  <c r="H23" i="139" s="1"/>
  <c r="J81" i="145"/>
  <c r="V79" i="145"/>
  <c r="J192" i="145"/>
  <c r="D71" i="144"/>
  <c r="S47" i="145" s="1"/>
  <c r="D64" i="144"/>
  <c r="D66" i="144"/>
  <c r="N47" i="145" s="1"/>
  <c r="G74" i="144"/>
  <c r="I55" i="138" s="1"/>
  <c r="J69" i="144"/>
  <c r="O50" i="138" s="1"/>
  <c r="I74" i="144"/>
  <c r="M55" i="138" s="1"/>
  <c r="D69" i="144"/>
  <c r="Q47" i="145" s="1"/>
  <c r="J64" i="144"/>
  <c r="O45" i="138" s="1"/>
  <c r="D68" i="144"/>
  <c r="P47" i="145" s="1"/>
  <c r="D72" i="144"/>
  <c r="T47" i="145" s="1"/>
  <c r="D70" i="144"/>
  <c r="R47" i="145" s="1"/>
  <c r="J67" i="144"/>
  <c r="O48" i="138" s="1"/>
  <c r="J65" i="144"/>
  <c r="O46" i="138" s="1"/>
  <c r="D65" i="144"/>
  <c r="M47" i="145" s="1"/>
  <c r="J73" i="144"/>
  <c r="O54" i="138" s="1"/>
  <c r="D73" i="144"/>
  <c r="U47" i="145" s="1"/>
  <c r="D67" i="144"/>
  <c r="O47" i="145" s="1"/>
  <c r="J68" i="144"/>
  <c r="O49" i="138" s="1"/>
  <c r="J72" i="144"/>
  <c r="O53" i="138" s="1"/>
  <c r="J70" i="144"/>
  <c r="O51" i="138" s="1"/>
  <c r="H74" i="144"/>
  <c r="K55" i="138" s="1"/>
  <c r="J63" i="144"/>
  <c r="O44" i="138" s="1"/>
  <c r="J66" i="144"/>
  <c r="O47" i="138" s="1"/>
  <c r="F74" i="144"/>
  <c r="G55" i="138" s="1"/>
  <c r="D63" i="144"/>
  <c r="J71" i="144"/>
  <c r="O52" i="138" s="1"/>
  <c r="C43" i="138"/>
  <c r="O43" i="138"/>
  <c r="H39" i="139"/>
  <c r="H20" i="139"/>
  <c r="V183" i="145"/>
  <c r="AF18" i="139" s="1"/>
  <c r="H18" i="135"/>
  <c r="J16" i="135"/>
  <c r="I17" i="135"/>
  <c r="I14" i="135"/>
  <c r="H18" i="139"/>
  <c r="H37" i="139"/>
  <c r="V165" i="145"/>
  <c r="AF37" i="139" s="1"/>
  <c r="P32" i="139"/>
  <c r="X32" i="139"/>
  <c r="V32" i="139"/>
  <c r="R32" i="139"/>
  <c r="N32" i="139"/>
  <c r="J32" i="139"/>
  <c r="L32" i="139"/>
  <c r="T32" i="139"/>
  <c r="H30" i="139"/>
  <c r="H29" i="139"/>
  <c r="H26" i="139"/>
  <c r="V208" i="145"/>
  <c r="AF39" i="139" s="1"/>
  <c r="H2" i="143"/>
  <c r="I2" i="143" s="1"/>
  <c r="D10" i="143" s="1"/>
  <c r="F10" i="143" s="1"/>
  <c r="F9" i="285" l="1" a="1"/>
  <c r="F9" i="285" s="1"/>
  <c r="AN54" i="287" a="1"/>
  <c r="AN54" i="287" s="1"/>
  <c r="F9" i="286" a="1"/>
  <c r="F9" i="286" s="1"/>
  <c r="F9" i="284" a="1"/>
  <c r="F9" i="284" s="1"/>
  <c r="AN54" i="281" a="1"/>
  <c r="AN54" i="281" s="1"/>
  <c r="AN54" i="286" a="1"/>
  <c r="AN54" i="286" s="1"/>
  <c r="AN54" i="283" a="1"/>
  <c r="AN54" i="283" s="1"/>
  <c r="AN54" i="282" a="1"/>
  <c r="AN54" i="282" s="1"/>
  <c r="AN54" i="285" a="1"/>
  <c r="AN54" i="285" s="1"/>
  <c r="F9" i="283" a="1"/>
  <c r="F9" i="283" s="1"/>
  <c r="F9" i="287" a="1"/>
  <c r="F9" i="287" s="1"/>
  <c r="AN54" i="284" a="1"/>
  <c r="AN54" i="284" s="1"/>
  <c r="F9" i="282" a="1"/>
  <c r="F9" i="282" s="1"/>
  <c r="AM19" i="281"/>
  <c r="AM19" i="285"/>
  <c r="AM19" i="283"/>
  <c r="AM19" i="282"/>
  <c r="AM19" i="288"/>
  <c r="AM19" i="290"/>
  <c r="AM19" i="289"/>
  <c r="AM19" i="287"/>
  <c r="AM19" i="291"/>
  <c r="AM19" i="286"/>
  <c r="AM19" i="284"/>
  <c r="F9" i="281" a="1"/>
  <c r="F9" i="281" s="1"/>
  <c r="AN54" i="291" a="1"/>
  <c r="AN54" i="291" s="1"/>
  <c r="AN54" i="289" a="1"/>
  <c r="AN54" i="289" s="1"/>
  <c r="AN54" i="290" a="1"/>
  <c r="AN54" i="290" s="1"/>
  <c r="F9" i="290" a="1"/>
  <c r="F9" i="290" s="1"/>
  <c r="F9" i="291" a="1"/>
  <c r="F9" i="291" s="1"/>
  <c r="F9" i="289" a="1"/>
  <c r="F9" i="289" s="1"/>
  <c r="AN54" i="288" a="1"/>
  <c r="AN54" i="288" s="1"/>
  <c r="F9" i="288" a="1"/>
  <c r="F9" i="288" s="1"/>
  <c r="J85" i="145"/>
  <c r="L47" i="145"/>
  <c r="K47" i="145"/>
  <c r="H9" i="139"/>
  <c r="V192" i="145"/>
  <c r="AF21" i="139" s="1"/>
  <c r="J202" i="145"/>
  <c r="J97" i="145" s="1"/>
  <c r="V196" i="145"/>
  <c r="AF25" i="139" s="1"/>
  <c r="V194" i="145"/>
  <c r="AF23" i="139" s="1"/>
  <c r="C52" i="138"/>
  <c r="C45" i="138"/>
  <c r="V81" i="145"/>
  <c r="C47" i="138"/>
  <c r="C50" i="138"/>
  <c r="C49" i="138"/>
  <c r="C53" i="138"/>
  <c r="J74" i="144"/>
  <c r="O55" i="138" s="1"/>
  <c r="C51" i="138"/>
  <c r="C48" i="138"/>
  <c r="C44" i="138"/>
  <c r="C46" i="138"/>
  <c r="C54" i="138"/>
  <c r="D74" i="144"/>
  <c r="H21" i="139"/>
  <c r="H19" i="135"/>
  <c r="I18" i="135"/>
  <c r="K16" i="135"/>
  <c r="J17" i="135"/>
  <c r="J14" i="135"/>
  <c r="H10" i="139"/>
  <c r="H13" i="139" s="1"/>
  <c r="AF13" i="139" s="1"/>
  <c r="V209" i="145"/>
  <c r="AF40" i="139" s="1"/>
  <c r="H40" i="139"/>
  <c r="H32" i="139"/>
  <c r="V163" i="145"/>
  <c r="AF27" i="139"/>
  <c r="V198" i="145"/>
  <c r="AF29" i="139" s="1"/>
  <c r="V199" i="145"/>
  <c r="AF30" i="139" s="1"/>
  <c r="V191" i="145"/>
  <c r="AF20" i="139" s="1"/>
  <c r="D11" i="143"/>
  <c r="D12" i="143" s="1"/>
  <c r="J10" i="143"/>
  <c r="G10" i="143"/>
  <c r="E10" i="143"/>
  <c r="I10" i="143"/>
  <c r="H10" i="143"/>
  <c r="V25" i="140"/>
  <c r="V24" i="140"/>
  <c r="O48" i="145" l="1"/>
  <c r="AI5" i="287"/>
  <c r="U48" i="145"/>
  <c r="AI5" i="281"/>
  <c r="P48" i="145"/>
  <c r="AI5" i="286"/>
  <c r="S48" i="145"/>
  <c r="AI5" i="283"/>
  <c r="T48" i="145"/>
  <c r="AI5" i="282"/>
  <c r="Q48" i="145"/>
  <c r="AI5" i="285"/>
  <c r="R48" i="145"/>
  <c r="AI5" i="284"/>
  <c r="AM20" i="281"/>
  <c r="U50" i="145" s="1"/>
  <c r="U233" i="145"/>
  <c r="U60" i="145"/>
  <c r="AM20" i="285"/>
  <c r="Q50" i="145" s="1"/>
  <c r="Q233" i="145"/>
  <c r="Q60" i="145"/>
  <c r="AM20" i="283"/>
  <c r="S50" i="145" s="1"/>
  <c r="S233" i="145"/>
  <c r="S60" i="145"/>
  <c r="AM20" i="282"/>
  <c r="T50" i="145" s="1"/>
  <c r="T233" i="145"/>
  <c r="T60" i="145"/>
  <c r="AM20" i="288"/>
  <c r="N50" i="145" s="1"/>
  <c r="N60" i="145"/>
  <c r="N233" i="145"/>
  <c r="AM20" i="290"/>
  <c r="L50" i="145" s="1"/>
  <c r="L233" i="145"/>
  <c r="L60" i="145"/>
  <c r="AM20" i="289"/>
  <c r="M50" i="145" s="1"/>
  <c r="M233" i="145"/>
  <c r="M60" i="145"/>
  <c r="AM20" i="287"/>
  <c r="O50" i="145" s="1"/>
  <c r="O233" i="145"/>
  <c r="O60" i="145"/>
  <c r="AM20" i="291"/>
  <c r="K50" i="145" s="1"/>
  <c r="K60" i="145"/>
  <c r="K233" i="145"/>
  <c r="AM20" i="286"/>
  <c r="P50" i="145" s="1"/>
  <c r="P233" i="145"/>
  <c r="P60" i="145"/>
  <c r="AM20" i="284"/>
  <c r="R50" i="145" s="1"/>
  <c r="R233" i="145"/>
  <c r="R60" i="145"/>
  <c r="AI5" i="291"/>
  <c r="K48" i="145"/>
  <c r="AI5" i="289"/>
  <c r="M48" i="145"/>
  <c r="AI5" i="290"/>
  <c r="L48" i="145"/>
  <c r="AI5" i="288"/>
  <c r="N48" i="145"/>
  <c r="V47" i="145"/>
  <c r="AF9" i="139"/>
  <c r="C55" i="138"/>
  <c r="H34" i="139"/>
  <c r="J34" i="139" s="1"/>
  <c r="L34" i="139" s="1"/>
  <c r="N34" i="139" s="1"/>
  <c r="P34" i="139" s="1"/>
  <c r="R34" i="139" s="1"/>
  <c r="T34" i="139" s="1"/>
  <c r="V34" i="139" s="1"/>
  <c r="X34" i="139" s="1"/>
  <c r="AF26" i="139"/>
  <c r="Z34" i="139"/>
  <c r="W10" i="143" a="1"/>
  <c r="W10" i="143" s="1"/>
  <c r="V10" i="143" a="1"/>
  <c r="V10" i="143" s="1"/>
  <c r="U10" i="143" a="1"/>
  <c r="U10" i="143" s="1"/>
  <c r="J92" i="145"/>
  <c r="V85" i="145"/>
  <c r="I19" i="135"/>
  <c r="J18" i="135"/>
  <c r="AF10" i="139"/>
  <c r="L16" i="135"/>
  <c r="K17" i="135"/>
  <c r="K14" i="135"/>
  <c r="V202" i="145"/>
  <c r="N10" i="143"/>
  <c r="O10" i="143" s="1"/>
  <c r="Q10" i="143" a="1"/>
  <c r="Q10" i="143" s="1"/>
  <c r="K10" i="143" a="1"/>
  <c r="K10" i="143" s="1"/>
  <c r="F12" i="143"/>
  <c r="J12" i="143"/>
  <c r="F11" i="143"/>
  <c r="J11" i="143"/>
  <c r="D13" i="143"/>
  <c r="I11" i="143"/>
  <c r="G11" i="143"/>
  <c r="E11" i="143"/>
  <c r="H11" i="143"/>
  <c r="V3" i="139"/>
  <c r="V7" i="140"/>
  <c r="Z7" i="140" s="1"/>
  <c r="F8" i="135"/>
  <c r="G25" i="140"/>
  <c r="G32" i="140"/>
  <c r="G24" i="140" s="1"/>
  <c r="F8" i="140"/>
  <c r="J3" i="143" s="1"/>
  <c r="Y6" i="135"/>
  <c r="Z10" i="143" l="1"/>
  <c r="J3" i="291"/>
  <c r="J3" i="290"/>
  <c r="J3" i="289"/>
  <c r="J3" i="288"/>
  <c r="J3" i="287"/>
  <c r="J3" i="286"/>
  <c r="J3" i="285"/>
  <c r="J3" i="284"/>
  <c r="J3" i="283"/>
  <c r="J3" i="282"/>
  <c r="J3" i="281"/>
  <c r="AC10" i="143"/>
  <c r="W11" i="143" a="1"/>
  <c r="W11" i="143" s="1"/>
  <c r="V11" i="143" a="1"/>
  <c r="V11" i="143" s="1"/>
  <c r="U11" i="143" a="1"/>
  <c r="U11" i="143" s="1"/>
  <c r="J19" i="135"/>
  <c r="K18" i="135"/>
  <c r="M16" i="135"/>
  <c r="L17" i="135"/>
  <c r="L14" i="135"/>
  <c r="AB10" i="143"/>
  <c r="N11" i="143"/>
  <c r="O11" i="143" s="1"/>
  <c r="Q11" i="143" a="1"/>
  <c r="Q11" i="143" s="1"/>
  <c r="K11" i="143" a="1"/>
  <c r="K11" i="143" s="1"/>
  <c r="F13" i="143"/>
  <c r="J13" i="143"/>
  <c r="G37" i="140"/>
  <c r="G22" i="140" s="1"/>
  <c r="V30" i="140"/>
  <c r="V22" i="140" s="1"/>
  <c r="F20" i="144" s="1"/>
  <c r="D14" i="143"/>
  <c r="E12" i="143"/>
  <c r="I12" i="143"/>
  <c r="H12" i="143"/>
  <c r="G12" i="143"/>
  <c r="V8" i="140"/>
  <c r="Z11" i="143" l="1"/>
  <c r="F28" i="144"/>
  <c r="F26" i="144" s="1"/>
  <c r="V64" i="144"/>
  <c r="V73" i="144"/>
  <c r="V72" i="144"/>
  <c r="V70" i="144"/>
  <c r="V65" i="144"/>
  <c r="V63" i="144"/>
  <c r="V67" i="144"/>
  <c r="V62" i="144"/>
  <c r="V71" i="144"/>
  <c r="V68" i="144"/>
  <c r="V66" i="144"/>
  <c r="V69" i="144"/>
  <c r="P35" i="144"/>
  <c r="D55" i="144" s="1"/>
  <c r="AC11" i="143"/>
  <c r="K20" i="135" a="1"/>
  <c r="K20" i="135" s="1"/>
  <c r="J3" i="135"/>
  <c r="Z31" i="139"/>
  <c r="H37" i="144"/>
  <c r="G20" i="135" a="1"/>
  <c r="G20" i="135" s="1"/>
  <c r="H20" i="135" a="1"/>
  <c r="H20" i="135" s="1"/>
  <c r="F20" i="135" a="1"/>
  <c r="F20" i="135" s="1"/>
  <c r="I20" i="135" a="1"/>
  <c r="I20" i="135" s="1"/>
  <c r="J20" i="135" a="1"/>
  <c r="J20" i="135" s="1"/>
  <c r="W12" i="143" a="1"/>
  <c r="W12" i="143" s="1"/>
  <c r="V12" i="143" a="1"/>
  <c r="V12" i="143" s="1"/>
  <c r="U12" i="143" a="1"/>
  <c r="U12" i="143" s="1"/>
  <c r="K19" i="135"/>
  <c r="L18" i="135"/>
  <c r="Q12" i="143" a="1"/>
  <c r="Q12" i="143" s="1"/>
  <c r="L20" i="135" a="1"/>
  <c r="L20" i="135" s="1"/>
  <c r="N16" i="135"/>
  <c r="M17" i="135"/>
  <c r="M14" i="135"/>
  <c r="H35" i="144"/>
  <c r="H36" i="144"/>
  <c r="H34" i="144"/>
  <c r="K62" i="144"/>
  <c r="K69" i="144"/>
  <c r="K73" i="144"/>
  <c r="Q54" i="138" s="1"/>
  <c r="K68" i="144"/>
  <c r="K63" i="144"/>
  <c r="K67" i="144"/>
  <c r="K71" i="144"/>
  <c r="K65" i="144"/>
  <c r="K64" i="144"/>
  <c r="K66" i="144"/>
  <c r="K70" i="144"/>
  <c r="K72" i="144"/>
  <c r="AB11" i="143"/>
  <c r="F9" i="135" a="1"/>
  <c r="F9" i="135" s="1"/>
  <c r="N12" i="143"/>
  <c r="O12" i="143" s="1"/>
  <c r="E3" i="143"/>
  <c r="K12" i="143" a="1"/>
  <c r="K12" i="143" s="1"/>
  <c r="F63" i="138"/>
  <c r="F7" i="140"/>
  <c r="Z8" i="140"/>
  <c r="D67" i="138"/>
  <c r="B67" i="138" s="1"/>
  <c r="J14" i="143"/>
  <c r="F65" i="138"/>
  <c r="D15" i="143"/>
  <c r="F14" i="143"/>
  <c r="E13" i="143"/>
  <c r="I13" i="143"/>
  <c r="G13" i="143"/>
  <c r="H13" i="143"/>
  <c r="U1" i="138"/>
  <c r="Z12" i="143" l="1"/>
  <c r="AN39" i="288" a="1"/>
  <c r="AN39" i="288" s="1"/>
  <c r="AN36" i="288" a="1"/>
  <c r="AN36" i="288" s="1"/>
  <c r="AN49" i="285" a="1"/>
  <c r="AN49" i="285" s="1"/>
  <c r="AN37" i="285" a="1"/>
  <c r="AN37" i="285" s="1"/>
  <c r="AN44" i="284" a="1"/>
  <c r="AN44" i="284" s="1"/>
  <c r="AN42" i="283" a="1"/>
  <c r="AN42" i="283" s="1"/>
  <c r="AN44" i="290" a="1"/>
  <c r="AN44" i="290" s="1"/>
  <c r="AN40" i="288" a="1"/>
  <c r="AN40" i="288" s="1"/>
  <c r="AN46" i="285" a="1"/>
  <c r="AN46" i="285" s="1"/>
  <c r="AN40" i="285" a="1"/>
  <c r="AN40" i="285" s="1"/>
  <c r="AN46" i="284" a="1"/>
  <c r="AN46" i="284" s="1"/>
  <c r="AN44" i="283" a="1"/>
  <c r="AN44" i="283" s="1"/>
  <c r="AN50" i="291" a="1"/>
  <c r="AN50" i="291" s="1"/>
  <c r="AN46" i="291" a="1"/>
  <c r="AN46" i="291" s="1"/>
  <c r="AN44" i="291" a="1"/>
  <c r="AN44" i="291" s="1"/>
  <c r="AN42" i="291" a="1"/>
  <c r="AN42" i="291" s="1"/>
  <c r="AN40" i="291" a="1"/>
  <c r="AN40" i="291" s="1"/>
  <c r="AN38" i="291" a="1"/>
  <c r="AN38" i="291" s="1"/>
  <c r="AN50" i="290" a="1"/>
  <c r="AN50" i="290" s="1"/>
  <c r="AN47" i="290" a="1"/>
  <c r="AN47" i="290" s="1"/>
  <c r="AN45" i="290" a="1"/>
  <c r="AN45" i="290" s="1"/>
  <c r="AN42" i="290" a="1"/>
  <c r="AN42" i="290" s="1"/>
  <c r="AN40" i="290" a="1"/>
  <c r="AN40" i="290" s="1"/>
  <c r="AN44" i="289" a="1"/>
  <c r="AN44" i="289" s="1"/>
  <c r="AN46" i="288" a="1"/>
  <c r="AN46" i="288" s="1"/>
  <c r="AN42" i="288" a="1"/>
  <c r="AN42" i="288" s="1"/>
  <c r="AN38" i="288" a="1"/>
  <c r="AN38" i="288" s="1"/>
  <c r="AN50" i="287" a="1"/>
  <c r="AN50" i="287" s="1"/>
  <c r="AN38" i="285" a="1"/>
  <c r="AN38" i="285" s="1"/>
  <c r="AN43" i="284" a="1"/>
  <c r="AN43" i="284" s="1"/>
  <c r="AN43" i="283" a="1"/>
  <c r="AN43" i="283" s="1"/>
  <c r="AN45" i="285" a="1"/>
  <c r="AN45" i="285" s="1"/>
  <c r="AN49" i="284" a="1"/>
  <c r="AN49" i="284" s="1"/>
  <c r="AN38" i="284" a="1"/>
  <c r="AN38" i="284" s="1"/>
  <c r="AN47" i="288" a="1"/>
  <c r="AN47" i="288" s="1"/>
  <c r="AN47" i="285" a="1"/>
  <c r="AN47" i="285" s="1"/>
  <c r="AN41" i="285" a="1"/>
  <c r="AN41" i="285" s="1"/>
  <c r="AN47" i="284" a="1"/>
  <c r="AN47" i="284" s="1"/>
  <c r="AN37" i="284" a="1"/>
  <c r="AN37" i="284" s="1"/>
  <c r="AN40" i="283" a="1"/>
  <c r="AN40" i="283" s="1"/>
  <c r="AN38" i="290" a="1"/>
  <c r="AN38" i="290" s="1"/>
  <c r="AN37" i="290" a="1"/>
  <c r="AN37" i="290" s="1"/>
  <c r="AN36" i="290" a="1"/>
  <c r="AN36" i="290" s="1"/>
  <c r="AN50" i="289" a="1"/>
  <c r="AN50" i="289" s="1"/>
  <c r="AN49" i="289" a="1"/>
  <c r="AN49" i="289" s="1"/>
  <c r="AN47" i="289" a="1"/>
  <c r="AN47" i="289" s="1"/>
  <c r="AN46" i="289" a="1"/>
  <c r="AN46" i="289" s="1"/>
  <c r="AN45" i="289" a="1"/>
  <c r="AN45" i="289" s="1"/>
  <c r="AN37" i="283" a="1"/>
  <c r="AN37" i="283" s="1"/>
  <c r="AN43" i="289" a="1"/>
  <c r="AN43" i="289" s="1"/>
  <c r="AN42" i="289" a="1"/>
  <c r="AN42" i="289" s="1"/>
  <c r="AN41" i="289" a="1"/>
  <c r="AN41" i="289" s="1"/>
  <c r="AN40" i="289" a="1"/>
  <c r="AN40" i="289" s="1"/>
  <c r="AN39" i="289" a="1"/>
  <c r="AN39" i="289" s="1"/>
  <c r="AN38" i="289" a="1"/>
  <c r="AN38" i="289" s="1"/>
  <c r="AN37" i="289" a="1"/>
  <c r="AN37" i="289" s="1"/>
  <c r="AN36" i="289" a="1"/>
  <c r="AN36" i="289" s="1"/>
  <c r="AN50" i="288" a="1"/>
  <c r="AN50" i="288" s="1"/>
  <c r="AN44" i="288" a="1"/>
  <c r="AN44" i="288" s="1"/>
  <c r="AN41" i="288" a="1"/>
  <c r="AN41" i="288" s="1"/>
  <c r="AN37" i="288" a="1"/>
  <c r="AN37" i="288" s="1"/>
  <c r="AN49" i="287" a="1"/>
  <c r="AN49" i="287" s="1"/>
  <c r="AN43" i="285" a="1"/>
  <c r="AN43" i="285" s="1"/>
  <c r="AN50" i="284" a="1"/>
  <c r="AN50" i="284" s="1"/>
  <c r="AN41" i="284" a="1"/>
  <c r="AN41" i="284" s="1"/>
  <c r="AN36" i="284" a="1"/>
  <c r="AN36" i="284" s="1"/>
  <c r="AN50" i="283" a="1"/>
  <c r="AN50" i="283" s="1"/>
  <c r="AN39" i="283" a="1"/>
  <c r="AN39" i="283" s="1"/>
  <c r="AN41" i="283" a="1"/>
  <c r="AN41" i="283" s="1"/>
  <c r="AN47" i="287" a="1"/>
  <c r="AN47" i="287" s="1"/>
  <c r="AN46" i="287" a="1"/>
  <c r="AN46" i="287" s="1"/>
  <c r="AN45" i="287" a="1"/>
  <c r="AN45" i="287" s="1"/>
  <c r="AN44" i="287" a="1"/>
  <c r="AN44" i="287" s="1"/>
  <c r="AN43" i="287" a="1"/>
  <c r="AN43" i="287" s="1"/>
  <c r="AN42" i="287" a="1"/>
  <c r="AN42" i="287" s="1"/>
  <c r="AN41" i="287" a="1"/>
  <c r="AN41" i="287" s="1"/>
  <c r="AN40" i="287" a="1"/>
  <c r="AN40" i="287" s="1"/>
  <c r="AN39" i="287" a="1"/>
  <c r="AN39" i="287" s="1"/>
  <c r="AN38" i="287" a="1"/>
  <c r="AN38" i="287" s="1"/>
  <c r="AN37" i="287" a="1"/>
  <c r="AN37" i="287" s="1"/>
  <c r="AN36" i="287" a="1"/>
  <c r="AN36" i="287" s="1"/>
  <c r="AN50" i="286" a="1"/>
  <c r="AN50" i="286" s="1"/>
  <c r="AN49" i="286" a="1"/>
  <c r="AN49" i="286" s="1"/>
  <c r="AN47" i="286" a="1"/>
  <c r="AN47" i="286" s="1"/>
  <c r="AN46" i="286" a="1"/>
  <c r="AN46" i="286" s="1"/>
  <c r="AN45" i="286" a="1"/>
  <c r="AN45" i="286" s="1"/>
  <c r="AN44" i="285" a="1"/>
  <c r="AN44" i="285" s="1"/>
  <c r="AN45" i="284" a="1"/>
  <c r="AN45" i="284" s="1"/>
  <c r="AN49" i="283" a="1"/>
  <c r="AN49" i="283" s="1"/>
  <c r="AN38" i="283" a="1"/>
  <c r="AN38" i="283" s="1"/>
  <c r="AN44" i="286" a="1"/>
  <c r="AN44" i="286" s="1"/>
  <c r="AN43" i="286" a="1"/>
  <c r="AN43" i="286" s="1"/>
  <c r="AN42" i="286" a="1"/>
  <c r="AN42" i="286" s="1"/>
  <c r="AN41" i="286" a="1"/>
  <c r="AN41" i="286" s="1"/>
  <c r="AN40" i="286" a="1"/>
  <c r="AN40" i="286" s="1"/>
  <c r="AN39" i="286" a="1"/>
  <c r="AN39" i="286" s="1"/>
  <c r="AN38" i="286" a="1"/>
  <c r="AN38" i="286" s="1"/>
  <c r="AN37" i="286" a="1"/>
  <c r="AN37" i="286" s="1"/>
  <c r="AN36" i="286" a="1"/>
  <c r="AN36" i="286" s="1"/>
  <c r="AN50" i="285" a="1"/>
  <c r="AN50" i="285" s="1"/>
  <c r="AN42" i="285" a="1"/>
  <c r="AN42" i="285" s="1"/>
  <c r="AN36" i="285" a="1"/>
  <c r="AN36" i="285" s="1"/>
  <c r="AN39" i="284" a="1"/>
  <c r="AN39" i="284" s="1"/>
  <c r="AN36" i="283" a="1"/>
  <c r="AN36" i="283" s="1"/>
  <c r="AN39" i="285" a="1"/>
  <c r="AN39" i="285" s="1"/>
  <c r="AN40" i="284" a="1"/>
  <c r="AN40" i="284" s="1"/>
  <c r="AN45" i="283" a="1"/>
  <c r="AN45" i="283" s="1"/>
  <c r="AN47" i="283" a="1"/>
  <c r="AN47" i="283" s="1"/>
  <c r="AN50" i="282" a="1"/>
  <c r="AN50" i="282" s="1"/>
  <c r="AN49" i="282" a="1"/>
  <c r="AN49" i="282" s="1"/>
  <c r="AN47" i="282" a="1"/>
  <c r="AN47" i="282" s="1"/>
  <c r="AN46" i="282" a="1"/>
  <c r="AN46" i="282" s="1"/>
  <c r="AN45" i="282" a="1"/>
  <c r="AN45" i="282" s="1"/>
  <c r="AN44" i="282" a="1"/>
  <c r="AN44" i="282" s="1"/>
  <c r="AN43" i="282" a="1"/>
  <c r="AN43" i="282" s="1"/>
  <c r="AN42" i="282" a="1"/>
  <c r="AN42" i="282" s="1"/>
  <c r="AN41" i="282" a="1"/>
  <c r="AN41" i="282" s="1"/>
  <c r="AN40" i="282" a="1"/>
  <c r="AN40" i="282" s="1"/>
  <c r="AN39" i="282" a="1"/>
  <c r="AN39" i="282" s="1"/>
  <c r="AN38" i="282" a="1"/>
  <c r="AN38" i="282" s="1"/>
  <c r="AN37" i="282" a="1"/>
  <c r="AN37" i="282" s="1"/>
  <c r="AN36" i="282" a="1"/>
  <c r="AN36" i="282" s="1"/>
  <c r="AN50" i="281" a="1"/>
  <c r="AN50" i="281" s="1"/>
  <c r="AN49" i="281" a="1"/>
  <c r="AN49" i="281" s="1"/>
  <c r="AN47" i="281" a="1"/>
  <c r="AN47" i="281" s="1"/>
  <c r="AN46" i="281" a="1"/>
  <c r="AN46" i="281" s="1"/>
  <c r="AN45" i="281" a="1"/>
  <c r="AN45" i="281" s="1"/>
  <c r="AN44" i="281" a="1"/>
  <c r="AN44" i="281" s="1"/>
  <c r="AN43" i="281" a="1"/>
  <c r="AN43" i="281" s="1"/>
  <c r="AN42" i="281" a="1"/>
  <c r="AN42" i="281" s="1"/>
  <c r="AN41" i="281" a="1"/>
  <c r="AN41" i="281" s="1"/>
  <c r="AN40" i="281" a="1"/>
  <c r="AN40" i="281" s="1"/>
  <c r="AN39" i="281" a="1"/>
  <c r="AN39" i="281" s="1"/>
  <c r="AN38" i="281" a="1"/>
  <c r="AN38" i="281" s="1"/>
  <c r="AN37" i="281" a="1"/>
  <c r="AN37" i="281" s="1"/>
  <c r="AN36" i="281" a="1"/>
  <c r="AN36" i="281" s="1"/>
  <c r="AN42" i="284" a="1"/>
  <c r="AN42" i="284" s="1"/>
  <c r="AN46" i="283" a="1"/>
  <c r="AN46" i="283" s="1"/>
  <c r="AN49" i="291" a="1"/>
  <c r="AN49" i="291" s="1"/>
  <c r="AN47" i="291" a="1"/>
  <c r="AN47" i="291" s="1"/>
  <c r="AN45" i="291" a="1"/>
  <c r="AN45" i="291" s="1"/>
  <c r="AN43" i="291" a="1"/>
  <c r="AN43" i="291" s="1"/>
  <c r="AN41" i="291" a="1"/>
  <c r="AN41" i="291" s="1"/>
  <c r="AN39" i="291" a="1"/>
  <c r="AN39" i="291" s="1"/>
  <c r="AN37" i="291" a="1"/>
  <c r="AN37" i="291" s="1"/>
  <c r="AN36" i="291" a="1"/>
  <c r="AN36" i="291" s="1"/>
  <c r="AN49" i="290" a="1"/>
  <c r="AN49" i="290" s="1"/>
  <c r="AN46" i="290" a="1"/>
  <c r="AN46" i="290" s="1"/>
  <c r="AN43" i="290" a="1"/>
  <c r="AN43" i="290" s="1"/>
  <c r="AN41" i="290" a="1"/>
  <c r="AN41" i="290" s="1"/>
  <c r="AN39" i="290" a="1"/>
  <c r="AN39" i="290" s="1"/>
  <c r="AN49" i="288" a="1"/>
  <c r="AN49" i="288" s="1"/>
  <c r="AN45" i="288" a="1"/>
  <c r="AN45" i="288" s="1"/>
  <c r="AN43" i="288" a="1"/>
  <c r="AN43" i="288" s="1"/>
  <c r="V74" i="144"/>
  <c r="AN43" i="135" a="1"/>
  <c r="AN43" i="135" s="1"/>
  <c r="AC12" i="143"/>
  <c r="Q53" i="138"/>
  <c r="Q52" i="138"/>
  <c r="Q51" i="138"/>
  <c r="Q50" i="138"/>
  <c r="Q49" i="138"/>
  <c r="Q48" i="138"/>
  <c r="Q47" i="138"/>
  <c r="Q46" i="138"/>
  <c r="Q45" i="138"/>
  <c r="Q44" i="138"/>
  <c r="W13" i="143" a="1"/>
  <c r="W13" i="143" s="1"/>
  <c r="V13" i="143" a="1"/>
  <c r="V13" i="143" s="1"/>
  <c r="U13" i="143" a="1"/>
  <c r="U13" i="143" s="1"/>
  <c r="L19" i="135"/>
  <c r="AN50" i="135" a="1"/>
  <c r="AN50" i="135" s="1"/>
  <c r="AN41" i="135" a="1"/>
  <c r="AN41" i="135" s="1"/>
  <c r="AN46" i="135" a="1"/>
  <c r="AN46" i="135" s="1"/>
  <c r="AN44" i="135" a="1"/>
  <c r="AN44" i="135" s="1"/>
  <c r="AN38" i="135" a="1"/>
  <c r="AN38" i="135" s="1"/>
  <c r="AN47" i="135" a="1"/>
  <c r="AN47" i="135" s="1"/>
  <c r="AN42" i="135" a="1"/>
  <c r="AN42" i="135" s="1"/>
  <c r="AN37" i="135" a="1"/>
  <c r="AN37" i="135" s="1"/>
  <c r="AN45" i="135" a="1"/>
  <c r="AN45" i="135" s="1"/>
  <c r="AN49" i="135" a="1"/>
  <c r="AN49" i="135" s="1"/>
  <c r="AN40" i="135" a="1"/>
  <c r="AN40" i="135" s="1"/>
  <c r="AN39" i="135" a="1"/>
  <c r="AN39" i="135" s="1"/>
  <c r="AN36" i="135" a="1"/>
  <c r="AN36" i="135" s="1"/>
  <c r="M18" i="135"/>
  <c r="M20" i="135" a="1"/>
  <c r="M20" i="135" s="1"/>
  <c r="O16" i="135"/>
  <c r="N17" i="135"/>
  <c r="N14" i="135"/>
  <c r="Q43" i="138"/>
  <c r="K74" i="144"/>
  <c r="Q55" i="138" s="1"/>
  <c r="AB12" i="143"/>
  <c r="AA12" i="143"/>
  <c r="O3" i="143"/>
  <c r="P10" i="143"/>
  <c r="P12" i="143"/>
  <c r="R12" i="143" s="1"/>
  <c r="P11" i="143"/>
  <c r="R11" i="143" s="1"/>
  <c r="AA11" i="143" s="1"/>
  <c r="AD11" i="143" s="1"/>
  <c r="AE11" i="143" s="1"/>
  <c r="Q13" i="143" a="1"/>
  <c r="Q13" i="143" s="1"/>
  <c r="N13" i="143"/>
  <c r="K13" i="143" a="1"/>
  <c r="K13" i="143" s="1"/>
  <c r="D6" i="135"/>
  <c r="J15" i="143"/>
  <c r="D16" i="143"/>
  <c r="F15" i="143"/>
  <c r="G14" i="143"/>
  <c r="H14" i="143"/>
  <c r="I14" i="143"/>
  <c r="E14" i="143"/>
  <c r="Z13" i="143" l="1"/>
  <c r="AN51" i="282"/>
  <c r="AN51" i="287"/>
  <c r="AN51" i="289"/>
  <c r="AN51" i="291"/>
  <c r="AN51" i="288"/>
  <c r="AN51" i="290"/>
  <c r="AN51" i="284"/>
  <c r="AN51" i="286"/>
  <c r="AN51" i="285"/>
  <c r="AN51" i="283"/>
  <c r="AN51" i="281"/>
  <c r="AC13" i="143"/>
  <c r="L69" i="144"/>
  <c r="L72" i="144"/>
  <c r="L68" i="144"/>
  <c r="L66" i="144"/>
  <c r="L63" i="144"/>
  <c r="L70" i="144"/>
  <c r="L65" i="144"/>
  <c r="L71" i="144"/>
  <c r="L73" i="144"/>
  <c r="L67" i="144"/>
  <c r="R232" i="145"/>
  <c r="R59" i="145"/>
  <c r="L59" i="145"/>
  <c r="L232" i="145"/>
  <c r="Q59" i="145"/>
  <c r="Q232" i="145"/>
  <c r="N59" i="145"/>
  <c r="N232" i="145"/>
  <c r="T59" i="145"/>
  <c r="T232" i="145"/>
  <c r="O232" i="145"/>
  <c r="O59" i="145"/>
  <c r="P59" i="145"/>
  <c r="P232" i="145"/>
  <c r="K59" i="145"/>
  <c r="K232" i="145"/>
  <c r="U59" i="145"/>
  <c r="U232" i="145"/>
  <c r="M232" i="145"/>
  <c r="M59" i="145"/>
  <c r="S232" i="145"/>
  <c r="S59" i="145"/>
  <c r="W14" i="143" a="1"/>
  <c r="W14" i="143" s="1"/>
  <c r="V14" i="143" a="1"/>
  <c r="V14" i="143" s="1"/>
  <c r="U14" i="143" a="1"/>
  <c r="U14" i="143" s="1"/>
  <c r="M19" i="135"/>
  <c r="AN51" i="135"/>
  <c r="N18" i="135"/>
  <c r="N19" i="135" s="1"/>
  <c r="N20" i="135" a="1"/>
  <c r="N20" i="135" s="1"/>
  <c r="P16" i="135"/>
  <c r="O17" i="135"/>
  <c r="O14" i="135"/>
  <c r="AD12" i="143"/>
  <c r="AE12" i="143" s="1"/>
  <c r="AB13" i="143"/>
  <c r="AA13" i="143"/>
  <c r="P13" i="143"/>
  <c r="R13" i="143" s="1"/>
  <c r="O13" i="143"/>
  <c r="R10" i="143"/>
  <c r="Q14" i="143" a="1"/>
  <c r="Q14" i="143" s="1"/>
  <c r="N14" i="143"/>
  <c r="K14" i="143" a="1"/>
  <c r="K14" i="143" s="1"/>
  <c r="D12" i="135"/>
  <c r="H9" i="135" s="1"/>
  <c r="J16" i="143"/>
  <c r="D17" i="143"/>
  <c r="F16" i="143"/>
  <c r="I15" i="143"/>
  <c r="E15" i="143"/>
  <c r="G15" i="143"/>
  <c r="H15" i="143"/>
  <c r="Z14" i="143" l="1"/>
  <c r="L64" i="144"/>
  <c r="AC14" i="143"/>
  <c r="P51" i="145"/>
  <c r="T7" i="139"/>
  <c r="M68" i="144"/>
  <c r="W68" i="144" s="1"/>
  <c r="AB8" i="139"/>
  <c r="T61" i="145"/>
  <c r="T234" i="145"/>
  <c r="Q51" i="145"/>
  <c r="M69" i="144"/>
  <c r="W69" i="144" s="1"/>
  <c r="V7" i="139"/>
  <c r="M51" i="145"/>
  <c r="N7" i="139"/>
  <c r="M65" i="144"/>
  <c r="W65" i="144" s="1"/>
  <c r="R234" i="145"/>
  <c r="R61" i="145"/>
  <c r="X8" i="139"/>
  <c r="N8" i="139"/>
  <c r="M61" i="145"/>
  <c r="M234" i="145"/>
  <c r="L61" i="145"/>
  <c r="L234" i="145"/>
  <c r="L8" i="139"/>
  <c r="U51" i="145"/>
  <c r="AD7" i="139"/>
  <c r="M73" i="144"/>
  <c r="W73" i="144" s="1"/>
  <c r="O61" i="145"/>
  <c r="O234" i="145"/>
  <c r="R8" i="139"/>
  <c r="Z8" i="139"/>
  <c r="S61" i="145"/>
  <c r="S234" i="145"/>
  <c r="T8" i="139"/>
  <c r="P234" i="145"/>
  <c r="P61" i="145"/>
  <c r="AD8" i="139"/>
  <c r="U61" i="145"/>
  <c r="U234" i="145"/>
  <c r="P8" i="139"/>
  <c r="N61" i="145"/>
  <c r="N234" i="145"/>
  <c r="K51" i="145"/>
  <c r="J7" i="139"/>
  <c r="M63" i="144"/>
  <c r="W63" i="144" s="1"/>
  <c r="N51" i="145"/>
  <c r="P7" i="139"/>
  <c r="M66" i="144"/>
  <c r="W66" i="144" s="1"/>
  <c r="L51" i="145"/>
  <c r="L7" i="139"/>
  <c r="M64" i="144"/>
  <c r="W64" i="144" s="1"/>
  <c r="S51" i="145"/>
  <c r="Z7" i="139"/>
  <c r="M71" i="144"/>
  <c r="W71" i="144" s="1"/>
  <c r="O51" i="145"/>
  <c r="M67" i="144"/>
  <c r="W67" i="144" s="1"/>
  <c r="R7" i="139"/>
  <c r="V8" i="139"/>
  <c r="Q234" i="145"/>
  <c r="Q61" i="145"/>
  <c r="J8" i="139"/>
  <c r="K61" i="145"/>
  <c r="K234" i="145"/>
  <c r="T51" i="145"/>
  <c r="M72" i="144"/>
  <c r="W72" i="144" s="1"/>
  <c r="AB7" i="139"/>
  <c r="R51" i="145"/>
  <c r="X7" i="139"/>
  <c r="M70" i="144"/>
  <c r="W70" i="144" s="1"/>
  <c r="W15" i="143" a="1"/>
  <c r="W15" i="143" s="1"/>
  <c r="V15" i="143" a="1"/>
  <c r="V15" i="143" s="1"/>
  <c r="U15" i="143" a="1"/>
  <c r="U15" i="143" s="1"/>
  <c r="O18" i="135"/>
  <c r="O19" i="135" s="1"/>
  <c r="O20" i="135" a="1"/>
  <c r="O20" i="135" s="1"/>
  <c r="Q16" i="135"/>
  <c r="P17" i="135"/>
  <c r="P14" i="135"/>
  <c r="AB14" i="143"/>
  <c r="AD13" i="143"/>
  <c r="AE13" i="143" s="1"/>
  <c r="AA14" i="143"/>
  <c r="AL19" i="135"/>
  <c r="AA10" i="143"/>
  <c r="AD10" i="143" s="1"/>
  <c r="AE10" i="143" s="1"/>
  <c r="P14" i="143"/>
  <c r="O14" i="143"/>
  <c r="Q15" i="143" a="1"/>
  <c r="Q15" i="143" s="1"/>
  <c r="N15" i="143"/>
  <c r="K15" i="143" a="1"/>
  <c r="K15" i="143" s="1"/>
  <c r="AL18" i="135"/>
  <c r="J17" i="143"/>
  <c r="D18" i="143"/>
  <c r="F17" i="143"/>
  <c r="G16" i="143"/>
  <c r="H16" i="143"/>
  <c r="I16" i="143"/>
  <c r="E16" i="143"/>
  <c r="Z15" i="143" l="1"/>
  <c r="AC15" i="143"/>
  <c r="N63" i="144"/>
  <c r="S44" i="138"/>
  <c r="S46" i="138"/>
  <c r="N65" i="144"/>
  <c r="S48" i="138"/>
  <c r="N67" i="144"/>
  <c r="S51" i="138"/>
  <c r="N70" i="144"/>
  <c r="S52" i="138"/>
  <c r="N71" i="144"/>
  <c r="S54" i="138"/>
  <c r="N73" i="144"/>
  <c r="S50" i="138"/>
  <c r="N69" i="144"/>
  <c r="S45" i="138"/>
  <c r="N64" i="144"/>
  <c r="S53" i="138"/>
  <c r="N72" i="144"/>
  <c r="S49" i="138"/>
  <c r="N68" i="144"/>
  <c r="S47" i="138"/>
  <c r="N66" i="144"/>
  <c r="U16" i="143" a="1"/>
  <c r="U16" i="143" s="1"/>
  <c r="W16" i="143" a="1"/>
  <c r="W16" i="143" s="1"/>
  <c r="V16" i="143" a="1"/>
  <c r="V16" i="143" s="1"/>
  <c r="J27" i="145"/>
  <c r="J28" i="145"/>
  <c r="P18" i="135"/>
  <c r="P20" i="135" a="1"/>
  <c r="P20" i="135" s="1"/>
  <c r="R16" i="135"/>
  <c r="Q17" i="135"/>
  <c r="Q14" i="135"/>
  <c r="F15" i="135"/>
  <c r="AB15" i="143"/>
  <c r="AD14" i="143"/>
  <c r="AE14" i="143" s="1"/>
  <c r="AM54" i="135"/>
  <c r="AM18" i="135"/>
  <c r="J37" i="145" s="1"/>
  <c r="J232" i="145" s="1"/>
  <c r="AA15" i="143"/>
  <c r="R14" i="143"/>
  <c r="P15" i="143"/>
  <c r="R15" i="143" s="1"/>
  <c r="O15" i="143"/>
  <c r="Q16" i="143" a="1"/>
  <c r="Q16" i="143" s="1"/>
  <c r="N16" i="143"/>
  <c r="K16" i="143" a="1"/>
  <c r="K16" i="143" s="1"/>
  <c r="J18" i="143"/>
  <c r="D19" i="143"/>
  <c r="F18" i="143"/>
  <c r="H17" i="143"/>
  <c r="G17" i="143"/>
  <c r="I17" i="143"/>
  <c r="E17" i="143"/>
  <c r="Z16" i="143" l="1"/>
  <c r="AC16" i="143"/>
  <c r="W17" i="143" a="1"/>
  <c r="W17" i="143" s="1"/>
  <c r="V17" i="143" a="1"/>
  <c r="V17" i="143" s="1"/>
  <c r="U17" i="143" a="1"/>
  <c r="U17" i="143" s="1"/>
  <c r="J59" i="145"/>
  <c r="V28" i="145"/>
  <c r="V27" i="145"/>
  <c r="AN54" i="135" a="1"/>
  <c r="AN54" i="135" s="1"/>
  <c r="J48" i="145" s="1"/>
  <c r="P19" i="135"/>
  <c r="Q18" i="135"/>
  <c r="Q19" i="135" s="1"/>
  <c r="Q20" i="135" a="1"/>
  <c r="Q20" i="135" s="1"/>
  <c r="S16" i="135"/>
  <c r="R17" i="135"/>
  <c r="R14" i="135"/>
  <c r="G15" i="135"/>
  <c r="AD15" i="143"/>
  <c r="AE15" i="143" s="1"/>
  <c r="AB16" i="143"/>
  <c r="V37" i="145"/>
  <c r="V232" i="145" s="1"/>
  <c r="AA16" i="143"/>
  <c r="P16" i="143"/>
  <c r="O16" i="143"/>
  <c r="Q17" i="143" a="1"/>
  <c r="Q17" i="143" s="1"/>
  <c r="N17" i="143"/>
  <c r="K17" i="143" a="1"/>
  <c r="K17" i="143" s="1"/>
  <c r="J19" i="143"/>
  <c r="D20" i="143"/>
  <c r="F19" i="143"/>
  <c r="I18" i="143"/>
  <c r="H18" i="143"/>
  <c r="G18" i="143"/>
  <c r="E18" i="143"/>
  <c r="Z17" i="143" l="1"/>
  <c r="AC17" i="143"/>
  <c r="W18" i="143" a="1"/>
  <c r="W18" i="143" s="1"/>
  <c r="V18" i="143" a="1"/>
  <c r="V18" i="143" s="1"/>
  <c r="U18" i="143" a="1"/>
  <c r="U18" i="143" s="1"/>
  <c r="V59" i="145"/>
  <c r="J51" i="145"/>
  <c r="V48" i="145"/>
  <c r="AI5" i="135"/>
  <c r="H7" i="139"/>
  <c r="M62" i="144"/>
  <c r="W62" i="144" s="1"/>
  <c r="W74" i="144" s="1"/>
  <c r="R18" i="135"/>
  <c r="R19" i="135" s="1"/>
  <c r="R20" i="135" a="1"/>
  <c r="R20" i="135" s="1"/>
  <c r="T16" i="135"/>
  <c r="S17" i="135"/>
  <c r="S14" i="135"/>
  <c r="H15" i="135"/>
  <c r="AB17" i="143"/>
  <c r="AD16" i="143"/>
  <c r="AE16" i="143" s="1"/>
  <c r="AA17" i="143"/>
  <c r="P17" i="143"/>
  <c r="R17" i="143" s="1"/>
  <c r="O17" i="143"/>
  <c r="R16" i="143"/>
  <c r="Q18" i="143" a="1"/>
  <c r="Q18" i="143" s="1"/>
  <c r="N18" i="143"/>
  <c r="K18" i="143" a="1"/>
  <c r="K18" i="143" s="1"/>
  <c r="J20" i="143"/>
  <c r="D21" i="143"/>
  <c r="F20" i="143"/>
  <c r="I19" i="143"/>
  <c r="E19" i="143"/>
  <c r="H19" i="143"/>
  <c r="G19" i="143"/>
  <c r="AB13" i="138" a="1"/>
  <c r="Z18" i="143" l="1"/>
  <c r="AC18" i="143"/>
  <c r="AB13" i="138"/>
  <c r="I181" i="145" s="1"/>
  <c r="W19" i="143" a="1"/>
  <c r="W19" i="143" s="1"/>
  <c r="V19" i="143" a="1"/>
  <c r="V19" i="143" s="1"/>
  <c r="U19" i="143" a="1"/>
  <c r="U19" i="143" s="1"/>
  <c r="W51" i="145"/>
  <c r="V51" i="145"/>
  <c r="S43" i="138"/>
  <c r="N62" i="144"/>
  <c r="S18" i="135"/>
  <c r="S19" i="135" s="1"/>
  <c r="S20" i="135" a="1"/>
  <c r="S20" i="135" s="1"/>
  <c r="U16" i="135"/>
  <c r="T17" i="135"/>
  <c r="T14" i="135"/>
  <c r="I15" i="135"/>
  <c r="AD17" i="143"/>
  <c r="AE17" i="143" s="1"/>
  <c r="AB18" i="143"/>
  <c r="P18" i="143"/>
  <c r="R18" i="143" s="1"/>
  <c r="AA18" i="143" s="1"/>
  <c r="O18" i="143"/>
  <c r="Q19" i="143" a="1"/>
  <c r="Q19" i="143" s="1"/>
  <c r="N19" i="143"/>
  <c r="K19" i="143" a="1"/>
  <c r="K19" i="143" s="1"/>
  <c r="J21" i="143"/>
  <c r="D22" i="143"/>
  <c r="F21" i="143"/>
  <c r="H20" i="143"/>
  <c r="E20" i="143"/>
  <c r="G20" i="143"/>
  <c r="I20" i="143"/>
  <c r="Z19" i="143" l="1"/>
  <c r="AO17" i="289" a="1"/>
  <c r="AO17" i="289" s="1"/>
  <c r="AO17" i="285" a="1"/>
  <c r="AO17" i="285" s="1"/>
  <c r="AO17" i="284" a="1"/>
  <c r="AO17" i="284" s="1"/>
  <c r="AO17" i="283" a="1"/>
  <c r="AO17" i="283" s="1"/>
  <c r="AO17" i="282" a="1"/>
  <c r="AO17" i="282" s="1"/>
  <c r="AO17" i="281" a="1"/>
  <c r="AO17" i="281" s="1"/>
  <c r="AO17" i="287" a="1"/>
  <c r="AO17" i="287" s="1"/>
  <c r="AO17" i="288" a="1"/>
  <c r="AO17" i="288" s="1"/>
  <c r="AO17" i="286" a="1"/>
  <c r="AO17" i="286" s="1"/>
  <c r="AO17" i="291" a="1"/>
  <c r="AO17" i="291" s="1"/>
  <c r="AO17" i="290" a="1"/>
  <c r="AO17" i="290" s="1"/>
  <c r="AC19" i="143"/>
  <c r="V181" i="145"/>
  <c r="I184" i="145"/>
  <c r="J184" i="145" s="1"/>
  <c r="K184" i="145" s="1"/>
  <c r="L184" i="145" s="1"/>
  <c r="M184" i="145" s="1"/>
  <c r="N184" i="145" s="1"/>
  <c r="O184" i="145" s="1"/>
  <c r="P184" i="145" s="1"/>
  <c r="Q184" i="145" s="1"/>
  <c r="R184" i="145" s="1"/>
  <c r="S184" i="145" s="1"/>
  <c r="T184" i="145" s="1"/>
  <c r="U184" i="145" s="1"/>
  <c r="W184" i="145" s="1"/>
  <c r="W20" i="143" a="1"/>
  <c r="W20" i="143" s="1"/>
  <c r="V20" i="143" a="1"/>
  <c r="V20" i="143" s="1"/>
  <c r="U20" i="143" a="1"/>
  <c r="U20" i="143" s="1"/>
  <c r="T18" i="135"/>
  <c r="AD18" i="143"/>
  <c r="AE18" i="143" s="1"/>
  <c r="T20" i="135" a="1"/>
  <c r="T20" i="135" s="1"/>
  <c r="V16" i="135"/>
  <c r="U17" i="135"/>
  <c r="U14" i="135"/>
  <c r="J15" i="135"/>
  <c r="AB19" i="143"/>
  <c r="P19" i="143"/>
  <c r="R19" i="143" s="1"/>
  <c r="AA19" i="143" s="1"/>
  <c r="O19" i="143"/>
  <c r="Q20" i="143" a="1"/>
  <c r="Q20" i="143" s="1"/>
  <c r="N20" i="143"/>
  <c r="K20" i="143" a="1"/>
  <c r="K20" i="143" s="1"/>
  <c r="J22" i="143"/>
  <c r="D23" i="143"/>
  <c r="F22" i="143"/>
  <c r="G21" i="143"/>
  <c r="I21" i="143"/>
  <c r="H21" i="143"/>
  <c r="E21" i="143"/>
  <c r="Z20" i="143" l="1"/>
  <c r="F32" i="289" a="1"/>
  <c r="F32" i="289" s="1"/>
  <c r="G32" i="289" a="1"/>
  <c r="G32" i="289" s="1"/>
  <c r="J32" i="289" a="1"/>
  <c r="J32" i="289" s="1"/>
  <c r="K32" i="289" a="1"/>
  <c r="K32" i="289" s="1"/>
  <c r="L32" i="289" a="1"/>
  <c r="L32" i="289" s="1"/>
  <c r="M32" i="289" a="1"/>
  <c r="M32" i="289" s="1"/>
  <c r="N32" i="289" a="1"/>
  <c r="N32" i="289" s="1"/>
  <c r="Q32" i="289" a="1"/>
  <c r="Q32" i="289" s="1"/>
  <c r="R32" i="289" a="1"/>
  <c r="R32" i="289" s="1"/>
  <c r="S32" i="289" a="1"/>
  <c r="S32" i="289" s="1"/>
  <c r="T32" i="289" a="1"/>
  <c r="T32" i="289" s="1"/>
  <c r="U32" i="289" a="1"/>
  <c r="U32" i="289" s="1"/>
  <c r="X32" i="289" a="1"/>
  <c r="X32" i="289" s="1"/>
  <c r="Y32" i="289" a="1"/>
  <c r="Y32" i="289" s="1"/>
  <c r="Z32" i="289" a="1"/>
  <c r="Z32" i="289" s="1"/>
  <c r="AA32" i="289" a="1"/>
  <c r="AA32" i="289" s="1"/>
  <c r="AB32" i="289" a="1"/>
  <c r="AB32" i="289" s="1"/>
  <c r="AE32" i="289" a="1"/>
  <c r="AE32" i="289" s="1"/>
  <c r="AF32" i="289" a="1"/>
  <c r="AF32" i="289" s="1"/>
  <c r="AG32" i="289" a="1"/>
  <c r="AG32" i="289" s="1"/>
  <c r="AH32" i="289" a="1"/>
  <c r="AH32" i="289" s="1"/>
  <c r="AI32" i="289" a="1"/>
  <c r="AI32" i="289" s="1"/>
  <c r="G32" i="285" a="1"/>
  <c r="G32" i="285" s="1"/>
  <c r="I32" i="285" a="1"/>
  <c r="I32" i="285" s="1"/>
  <c r="J32" i="285" a="1"/>
  <c r="J32" i="285" s="1"/>
  <c r="K32" i="285" a="1"/>
  <c r="K32" i="285" s="1"/>
  <c r="L32" i="285" a="1"/>
  <c r="L32" i="285" s="1"/>
  <c r="N32" i="285" a="1"/>
  <c r="N32" i="285" s="1"/>
  <c r="P32" i="285" a="1"/>
  <c r="P32" i="285" s="1"/>
  <c r="Q32" i="285" a="1"/>
  <c r="Q32" i="285" s="1"/>
  <c r="R32" i="285" a="1"/>
  <c r="R32" i="285" s="1"/>
  <c r="S32" i="285" a="1"/>
  <c r="S32" i="285" s="1"/>
  <c r="U32" i="285" a="1"/>
  <c r="U32" i="285" s="1"/>
  <c r="W32" i="285" a="1"/>
  <c r="W32" i="285" s="1"/>
  <c r="X32" i="285" a="1"/>
  <c r="X32" i="285" s="1"/>
  <c r="Y32" i="285" a="1"/>
  <c r="Y32" i="285" s="1"/>
  <c r="Z32" i="285" a="1"/>
  <c r="Z32" i="285" s="1"/>
  <c r="AB32" i="285" a="1"/>
  <c r="AB32" i="285" s="1"/>
  <c r="AD32" i="285" a="1"/>
  <c r="AD32" i="285" s="1"/>
  <c r="AE32" i="285" a="1"/>
  <c r="AE32" i="285" s="1"/>
  <c r="AF32" i="285" a="1"/>
  <c r="AF32" i="285" s="1"/>
  <c r="AG32" i="285" a="1"/>
  <c r="AG32" i="285" s="1"/>
  <c r="AI32" i="285" a="1"/>
  <c r="AI32" i="285" s="1"/>
  <c r="F32" i="284" a="1"/>
  <c r="F32" i="284" s="1"/>
  <c r="G32" i="284" a="1"/>
  <c r="G32" i="284" s="1"/>
  <c r="I32" i="284" a="1"/>
  <c r="I32" i="284" s="1"/>
  <c r="K32" i="284" a="1"/>
  <c r="K32" i="284" s="1"/>
  <c r="L32" i="284" a="1"/>
  <c r="L32" i="284" s="1"/>
  <c r="M32" i="284" a="1"/>
  <c r="M32" i="284" s="1"/>
  <c r="N32" i="284" a="1"/>
  <c r="N32" i="284" s="1"/>
  <c r="P32" i="284" a="1"/>
  <c r="P32" i="284" s="1"/>
  <c r="R32" i="284" a="1"/>
  <c r="R32" i="284" s="1"/>
  <c r="S32" i="284" a="1"/>
  <c r="S32" i="284" s="1"/>
  <c r="T32" i="284" a="1"/>
  <c r="T32" i="284" s="1"/>
  <c r="U32" i="284" a="1"/>
  <c r="U32" i="284" s="1"/>
  <c r="W32" i="284" a="1"/>
  <c r="W32" i="284" s="1"/>
  <c r="Y32" i="284" a="1"/>
  <c r="Y32" i="284" s="1"/>
  <c r="Z32" i="284" a="1"/>
  <c r="Z32" i="284" s="1"/>
  <c r="AA32" i="284" a="1"/>
  <c r="AA32" i="284" s="1"/>
  <c r="AB32" i="284" a="1"/>
  <c r="AB32" i="284" s="1"/>
  <c r="AD32" i="284" a="1"/>
  <c r="AD32" i="284" s="1"/>
  <c r="AF32" i="284" a="1"/>
  <c r="AF32" i="284" s="1"/>
  <c r="AG32" i="284" a="1"/>
  <c r="AG32" i="284" s="1"/>
  <c r="AH32" i="284" a="1"/>
  <c r="AH32" i="284" s="1"/>
  <c r="AI32" i="284" a="1"/>
  <c r="AI32" i="284" s="1"/>
  <c r="F32" i="283" a="1"/>
  <c r="F32" i="283" s="1"/>
  <c r="G32" i="283" a="1"/>
  <c r="G32" i="283" s="1"/>
  <c r="I32" i="283" a="1"/>
  <c r="I32" i="283" s="1"/>
  <c r="J32" i="283" a="1"/>
  <c r="J32" i="283" s="1"/>
  <c r="K32" i="283" a="1"/>
  <c r="K32" i="283" s="1"/>
  <c r="L32" i="283" a="1"/>
  <c r="L32" i="283" s="1"/>
  <c r="M32" i="283" a="1"/>
  <c r="M32" i="283" s="1"/>
  <c r="N32" i="283" a="1"/>
  <c r="N32" i="283" s="1"/>
  <c r="P32" i="283" a="1"/>
  <c r="P32" i="283" s="1"/>
  <c r="Q32" i="283" a="1"/>
  <c r="Q32" i="283" s="1"/>
  <c r="R32" i="283" a="1"/>
  <c r="R32" i="283" s="1"/>
  <c r="S32" i="283" a="1"/>
  <c r="S32" i="283" s="1"/>
  <c r="T32" i="283" a="1"/>
  <c r="T32" i="283" s="1"/>
  <c r="U32" i="283" a="1"/>
  <c r="U32" i="283" s="1"/>
  <c r="W32" i="283" a="1"/>
  <c r="W32" i="283" s="1"/>
  <c r="X32" i="283" a="1"/>
  <c r="X32" i="283" s="1"/>
  <c r="Y32" i="283" a="1"/>
  <c r="Y32" i="283" s="1"/>
  <c r="Z32" i="283" a="1"/>
  <c r="Z32" i="283" s="1"/>
  <c r="AA32" i="283" a="1"/>
  <c r="AA32" i="283" s="1"/>
  <c r="AB32" i="283" a="1"/>
  <c r="AB32" i="283" s="1"/>
  <c r="AD32" i="283" a="1"/>
  <c r="AD32" i="283" s="1"/>
  <c r="AE32" i="283" a="1"/>
  <c r="AE32" i="283" s="1"/>
  <c r="AF32" i="283" a="1"/>
  <c r="AF32" i="283" s="1"/>
  <c r="AG32" i="283" a="1"/>
  <c r="AG32" i="283" s="1"/>
  <c r="AH32" i="283" a="1"/>
  <c r="AH32" i="283" s="1"/>
  <c r="AI32" i="283" a="1"/>
  <c r="AI32" i="283" s="1"/>
  <c r="F32" i="282" a="1"/>
  <c r="F32" i="282" s="1"/>
  <c r="G32" i="282" a="1"/>
  <c r="G32" i="282" s="1"/>
  <c r="I32" i="282" a="1"/>
  <c r="I32" i="282" s="1"/>
  <c r="J32" i="282" a="1"/>
  <c r="J32" i="282" s="1"/>
  <c r="K32" i="282" a="1"/>
  <c r="K32" i="282" s="1"/>
  <c r="M32" i="282" a="1"/>
  <c r="M32" i="282" s="1"/>
  <c r="N32" i="282" a="1"/>
  <c r="N32" i="282" s="1"/>
  <c r="P32" i="282" a="1"/>
  <c r="P32" i="282" s="1"/>
  <c r="Q32" i="282" a="1"/>
  <c r="Q32" i="282" s="1"/>
  <c r="R32" i="282" a="1"/>
  <c r="R32" i="282" s="1"/>
  <c r="T32" i="282" a="1"/>
  <c r="T32" i="282" s="1"/>
  <c r="U32" i="282" a="1"/>
  <c r="U32" i="282" s="1"/>
  <c r="W32" i="282" a="1"/>
  <c r="W32" i="282" s="1"/>
  <c r="X32" i="282" a="1"/>
  <c r="X32" i="282" s="1"/>
  <c r="Y32" i="282" a="1"/>
  <c r="Y32" i="282" s="1"/>
  <c r="AA32" i="282" a="1"/>
  <c r="AA32" i="282" s="1"/>
  <c r="AB32" i="282" a="1"/>
  <c r="AB32" i="282" s="1"/>
  <c r="AD32" i="282" a="1"/>
  <c r="AD32" i="282" s="1"/>
  <c r="AE32" i="282" a="1"/>
  <c r="AE32" i="282" s="1"/>
  <c r="AF32" i="282" a="1"/>
  <c r="AF32" i="282" s="1"/>
  <c r="AH32" i="282" a="1"/>
  <c r="AH32" i="282" s="1"/>
  <c r="AI32" i="282" a="1"/>
  <c r="AI32" i="282" s="1"/>
  <c r="F32" i="281" a="1"/>
  <c r="F32" i="281" s="1"/>
  <c r="G32" i="281" a="1"/>
  <c r="G32" i="281" s="1"/>
  <c r="I32" i="281" a="1"/>
  <c r="I32" i="281" s="1"/>
  <c r="K32" i="281" a="1"/>
  <c r="K32" i="281" s="1"/>
  <c r="L32" i="281" a="1"/>
  <c r="L32" i="281" s="1"/>
  <c r="M32" i="281" a="1"/>
  <c r="M32" i="281" s="1"/>
  <c r="N32" i="281" a="1"/>
  <c r="N32" i="281" s="1"/>
  <c r="P32" i="281" a="1"/>
  <c r="P32" i="281" s="1"/>
  <c r="R32" i="281" a="1"/>
  <c r="R32" i="281" s="1"/>
  <c r="S32" i="281" a="1"/>
  <c r="S32" i="281" s="1"/>
  <c r="T32" i="281" a="1"/>
  <c r="T32" i="281" s="1"/>
  <c r="U32" i="281" a="1"/>
  <c r="U32" i="281" s="1"/>
  <c r="W32" i="281" a="1"/>
  <c r="W32" i="281" s="1"/>
  <c r="Y32" i="281" a="1"/>
  <c r="Y32" i="281" s="1"/>
  <c r="Z32" i="281" a="1"/>
  <c r="Z32" i="281" s="1"/>
  <c r="AA32" i="281" a="1"/>
  <c r="AA32" i="281" s="1"/>
  <c r="AB32" i="281" a="1"/>
  <c r="AB32" i="281" s="1"/>
  <c r="AD32" i="281" a="1"/>
  <c r="AD32" i="281" s="1"/>
  <c r="AF32" i="281" a="1"/>
  <c r="AF32" i="281" s="1"/>
  <c r="AG32" i="281" a="1"/>
  <c r="AG32" i="281" s="1"/>
  <c r="AH32" i="281" a="1"/>
  <c r="AH32" i="281" s="1"/>
  <c r="AI32" i="281" a="1"/>
  <c r="AI32" i="281" s="1"/>
  <c r="F32" i="287" a="1"/>
  <c r="F32" i="287" s="1"/>
  <c r="G32" i="287" a="1"/>
  <c r="G32" i="287" s="1"/>
  <c r="I32" i="287" a="1"/>
  <c r="I32" i="287" s="1"/>
  <c r="J32" i="287" a="1"/>
  <c r="J32" i="287" s="1"/>
  <c r="L32" i="287" a="1"/>
  <c r="L32" i="287" s="1"/>
  <c r="M32" i="287" a="1"/>
  <c r="M32" i="287" s="1"/>
  <c r="N32" i="287" a="1"/>
  <c r="N32" i="287" s="1"/>
  <c r="P32" i="287" a="1"/>
  <c r="P32" i="287" s="1"/>
  <c r="Q32" i="287" a="1"/>
  <c r="Q32" i="287" s="1"/>
  <c r="S32" i="287" a="1"/>
  <c r="S32" i="287" s="1"/>
  <c r="T32" i="287" a="1"/>
  <c r="T32" i="287" s="1"/>
  <c r="U32" i="287" a="1"/>
  <c r="U32" i="287" s="1"/>
  <c r="W32" i="287" a="1"/>
  <c r="W32" i="287" s="1"/>
  <c r="X32" i="287" a="1"/>
  <c r="X32" i="287" s="1"/>
  <c r="Z32" i="287" a="1"/>
  <c r="Z32" i="287" s="1"/>
  <c r="AA32" i="287" a="1"/>
  <c r="AA32" i="287" s="1"/>
  <c r="AB32" i="287" a="1"/>
  <c r="AB32" i="287" s="1"/>
  <c r="AD32" i="287" a="1"/>
  <c r="AD32" i="287" s="1"/>
  <c r="AE32" i="287" a="1"/>
  <c r="AE32" i="287" s="1"/>
  <c r="AG32" i="287" a="1"/>
  <c r="AG32" i="287" s="1"/>
  <c r="AH32" i="287" a="1"/>
  <c r="AH32" i="287" s="1"/>
  <c r="AI32" i="287" a="1"/>
  <c r="AI32" i="287" s="1"/>
  <c r="F32" i="288" a="1"/>
  <c r="F32" i="288" s="1"/>
  <c r="I32" i="288" a="1"/>
  <c r="I32" i="288" s="1"/>
  <c r="J32" i="288" a="1"/>
  <c r="J32" i="288" s="1"/>
  <c r="K32" i="288" a="1"/>
  <c r="K32" i="288" s="1"/>
  <c r="L32" i="288" a="1"/>
  <c r="L32" i="288" s="1"/>
  <c r="M32" i="288" a="1"/>
  <c r="M32" i="288" s="1"/>
  <c r="P32" i="288" a="1"/>
  <c r="P32" i="288" s="1"/>
  <c r="Q32" i="288" a="1"/>
  <c r="Q32" i="288" s="1"/>
  <c r="R32" i="288" a="1"/>
  <c r="R32" i="288" s="1"/>
  <c r="S32" i="288" a="1"/>
  <c r="S32" i="288" s="1"/>
  <c r="T32" i="288" a="1"/>
  <c r="T32" i="288" s="1"/>
  <c r="W32" i="288" a="1"/>
  <c r="W32" i="288" s="1"/>
  <c r="X32" i="288" a="1"/>
  <c r="X32" i="288" s="1"/>
  <c r="Y32" i="288" a="1"/>
  <c r="Y32" i="288" s="1"/>
  <c r="Z32" i="288" a="1"/>
  <c r="Z32" i="288" s="1"/>
  <c r="AA32" i="288" a="1"/>
  <c r="AA32" i="288" s="1"/>
  <c r="AD32" i="288" a="1"/>
  <c r="AD32" i="288" s="1"/>
  <c r="AE32" i="288" a="1"/>
  <c r="AE32" i="288" s="1"/>
  <c r="AF32" i="288" a="1"/>
  <c r="AF32" i="288" s="1"/>
  <c r="AG32" i="288" a="1"/>
  <c r="AG32" i="288" s="1"/>
  <c r="AH32" i="288" a="1"/>
  <c r="AH32" i="288" s="1"/>
  <c r="F32" i="286" a="1"/>
  <c r="F32" i="286" s="1"/>
  <c r="G32" i="286" a="1"/>
  <c r="G32" i="286" s="1"/>
  <c r="J32" i="286" a="1"/>
  <c r="J32" i="286" s="1"/>
  <c r="K32" i="286" a="1"/>
  <c r="K32" i="286" s="1"/>
  <c r="L32" i="286" a="1"/>
  <c r="L32" i="286" s="1"/>
  <c r="M32" i="286" a="1"/>
  <c r="M32" i="286" s="1"/>
  <c r="N32" i="286" a="1"/>
  <c r="N32" i="286" s="1"/>
  <c r="Q32" i="286" a="1"/>
  <c r="Q32" i="286" s="1"/>
  <c r="R32" i="286" a="1"/>
  <c r="R32" i="286" s="1"/>
  <c r="S32" i="286" a="1"/>
  <c r="S32" i="286" s="1"/>
  <c r="T32" i="286" a="1"/>
  <c r="T32" i="286" s="1"/>
  <c r="U32" i="286" a="1"/>
  <c r="U32" i="286" s="1"/>
  <c r="X32" i="286" a="1"/>
  <c r="X32" i="286" s="1"/>
  <c r="Y32" i="286" a="1"/>
  <c r="Y32" i="286" s="1"/>
  <c r="Z32" i="286" a="1"/>
  <c r="Z32" i="286" s="1"/>
  <c r="AA32" i="286" a="1"/>
  <c r="AA32" i="286" s="1"/>
  <c r="AB32" i="286" a="1"/>
  <c r="AB32" i="286" s="1"/>
  <c r="AE32" i="286" a="1"/>
  <c r="AE32" i="286" s="1"/>
  <c r="AF32" i="286" a="1"/>
  <c r="AF32" i="286" s="1"/>
  <c r="AG32" i="286" a="1"/>
  <c r="AG32" i="286" s="1"/>
  <c r="AH32" i="286" a="1"/>
  <c r="AH32" i="286" s="1"/>
  <c r="AI32" i="286" a="1"/>
  <c r="AI32" i="286" s="1"/>
  <c r="F32" i="291" a="1"/>
  <c r="F32" i="291" s="1"/>
  <c r="G32" i="291" a="1"/>
  <c r="G32" i="291" s="1"/>
  <c r="I32" i="291" a="1"/>
  <c r="I32" i="291" s="1"/>
  <c r="J32" i="291" a="1"/>
  <c r="J32" i="291" s="1"/>
  <c r="K32" i="291" a="1"/>
  <c r="K32" i="291" s="1"/>
  <c r="M32" i="291" a="1"/>
  <c r="M32" i="291" s="1"/>
  <c r="N32" i="291" a="1"/>
  <c r="N32" i="291" s="1"/>
  <c r="P32" i="291" a="1"/>
  <c r="P32" i="291" s="1"/>
  <c r="Q32" i="291" a="1"/>
  <c r="Q32" i="291" s="1"/>
  <c r="R32" i="291" a="1"/>
  <c r="R32" i="291" s="1"/>
  <c r="T32" i="291" a="1"/>
  <c r="T32" i="291" s="1"/>
  <c r="U32" i="291" a="1"/>
  <c r="U32" i="291" s="1"/>
  <c r="W32" i="291" a="1"/>
  <c r="W32" i="291" s="1"/>
  <c r="X32" i="291" a="1"/>
  <c r="X32" i="291" s="1"/>
  <c r="Y32" i="291" a="1"/>
  <c r="Y32" i="291" s="1"/>
  <c r="AA32" i="291" a="1"/>
  <c r="AA32" i="291" s="1"/>
  <c r="AB32" i="291" a="1"/>
  <c r="AB32" i="291" s="1"/>
  <c r="AD32" i="291" a="1"/>
  <c r="AD32" i="291" s="1"/>
  <c r="AE32" i="291" a="1"/>
  <c r="AE32" i="291" s="1"/>
  <c r="AF32" i="291" a="1"/>
  <c r="AF32" i="291" s="1"/>
  <c r="AH32" i="291" a="1"/>
  <c r="AH32" i="291" s="1"/>
  <c r="AI32" i="291" a="1"/>
  <c r="AI32" i="291" s="1"/>
  <c r="F32" i="290" a="1"/>
  <c r="F32" i="290" s="1"/>
  <c r="G32" i="290" a="1"/>
  <c r="G32" i="290" s="1"/>
  <c r="I32" i="290" a="1"/>
  <c r="I32" i="290" s="1"/>
  <c r="J32" i="290" a="1"/>
  <c r="J32" i="290" s="1"/>
  <c r="K32" i="290" a="1"/>
  <c r="K32" i="290" s="1"/>
  <c r="M32" i="290" a="1"/>
  <c r="M32" i="290" s="1"/>
  <c r="N32" i="290" a="1"/>
  <c r="N32" i="290" s="1"/>
  <c r="P32" i="290" a="1"/>
  <c r="P32" i="290" s="1"/>
  <c r="Q32" i="290" a="1"/>
  <c r="Q32" i="290" s="1"/>
  <c r="R32" i="290" a="1"/>
  <c r="R32" i="290" s="1"/>
  <c r="T32" i="290" a="1"/>
  <c r="T32" i="290" s="1"/>
  <c r="U32" i="290" a="1"/>
  <c r="U32" i="290" s="1"/>
  <c r="W32" i="290" a="1"/>
  <c r="W32" i="290" s="1"/>
  <c r="X32" i="290" a="1"/>
  <c r="X32" i="290" s="1"/>
  <c r="Y32" i="290" a="1"/>
  <c r="Y32" i="290" s="1"/>
  <c r="AA32" i="290" a="1"/>
  <c r="AA32" i="290" s="1"/>
  <c r="AB32" i="290" a="1"/>
  <c r="AB32" i="290" s="1"/>
  <c r="AD32" i="290" a="1"/>
  <c r="AD32" i="290" s="1"/>
  <c r="AE32" i="290" a="1"/>
  <c r="AE32" i="290" s="1"/>
  <c r="AF32" i="290" a="1"/>
  <c r="AF32" i="290" s="1"/>
  <c r="AH32" i="290" a="1"/>
  <c r="AH32" i="290" s="1"/>
  <c r="AI32" i="290" a="1"/>
  <c r="AI32" i="290" s="1"/>
  <c r="AC20" i="143"/>
  <c r="W182" i="145"/>
  <c r="N44" i="139"/>
  <c r="T44" i="139" s="1"/>
  <c r="V21" i="143" a="1"/>
  <c r="V21" i="143" s="1"/>
  <c r="U21" i="143" a="1"/>
  <c r="U21" i="143" s="1"/>
  <c r="W21" i="143" a="1"/>
  <c r="W21" i="143" s="1"/>
  <c r="T19" i="135"/>
  <c r="U18" i="135"/>
  <c r="U19" i="135" s="1"/>
  <c r="AD19" i="143"/>
  <c r="AE19" i="143" s="1"/>
  <c r="U20" i="135" a="1"/>
  <c r="U20" i="135" s="1"/>
  <c r="W16" i="135"/>
  <c r="V17" i="135"/>
  <c r="V14" i="135"/>
  <c r="K15" i="135"/>
  <c r="AB20" i="143"/>
  <c r="P20" i="143"/>
  <c r="R20" i="143" s="1"/>
  <c r="AA20" i="143" s="1"/>
  <c r="O20" i="143"/>
  <c r="Q21" i="143" a="1"/>
  <c r="Q21" i="143" s="1"/>
  <c r="N21" i="143"/>
  <c r="K21" i="143" a="1"/>
  <c r="K21" i="143" s="1"/>
  <c r="J23" i="143"/>
  <c r="D24" i="143"/>
  <c r="F23" i="143"/>
  <c r="G22" i="143"/>
  <c r="I22" i="143"/>
  <c r="H22" i="143"/>
  <c r="E22" i="143"/>
  <c r="Z21" i="143" l="1"/>
  <c r="AB3" i="289"/>
  <c r="AB3" i="290"/>
  <c r="AB3" i="283"/>
  <c r="AB3" i="288"/>
  <c r="AB3" i="286"/>
  <c r="AB3" i="281"/>
  <c r="AB3" i="291"/>
  <c r="AB3" i="284"/>
  <c r="AB3" i="285"/>
  <c r="AB3" i="282"/>
  <c r="AB3" i="287"/>
  <c r="AB3" i="135"/>
  <c r="AC21" i="143"/>
  <c r="W22" i="143" a="1"/>
  <c r="W22" i="143" s="1"/>
  <c r="V22" i="143" a="1"/>
  <c r="V22" i="143" s="1"/>
  <c r="U22" i="143" a="1"/>
  <c r="U22" i="143" s="1"/>
  <c r="V18" i="135"/>
  <c r="V20" i="135" a="1"/>
  <c r="V20" i="135" s="1"/>
  <c r="X16" i="135"/>
  <c r="W17" i="135"/>
  <c r="W14" i="135"/>
  <c r="L15" i="135"/>
  <c r="AB21" i="143"/>
  <c r="AD20" i="143"/>
  <c r="AE20" i="143" s="1"/>
  <c r="AA21" i="143"/>
  <c r="P21" i="143"/>
  <c r="R21" i="143" s="1"/>
  <c r="O21" i="143"/>
  <c r="Q22" i="143" a="1"/>
  <c r="Q22" i="143" s="1"/>
  <c r="N22" i="143"/>
  <c r="K22" i="143" a="1"/>
  <c r="K22" i="143" s="1"/>
  <c r="F24" i="143"/>
  <c r="J24" i="143"/>
  <c r="I23" i="143"/>
  <c r="E23" i="143"/>
  <c r="G23" i="143"/>
  <c r="H23" i="143"/>
  <c r="Z22" i="143" l="1"/>
  <c r="AC22" i="143"/>
  <c r="W23" i="143" a="1"/>
  <c r="W23" i="143" s="1"/>
  <c r="V23" i="143" a="1"/>
  <c r="V23" i="143" s="1"/>
  <c r="U23" i="143" a="1"/>
  <c r="U23" i="143" s="1"/>
  <c r="V19" i="135"/>
  <c r="W18" i="135"/>
  <c r="W19" i="135" s="1"/>
  <c r="AD21" i="143"/>
  <c r="AE21" i="143" s="1"/>
  <c r="W20" i="135" a="1"/>
  <c r="W20" i="135" s="1"/>
  <c r="Y16" i="135"/>
  <c r="X17" i="135"/>
  <c r="X14" i="135"/>
  <c r="M15" i="135"/>
  <c r="AB22" i="143"/>
  <c r="AA22" i="143"/>
  <c r="P22" i="143"/>
  <c r="R22" i="143" s="1"/>
  <c r="O22" i="143"/>
  <c r="Q23" i="143" a="1"/>
  <c r="Q23" i="143" s="1"/>
  <c r="N23" i="143"/>
  <c r="K23" i="143" a="1"/>
  <c r="K23" i="143" s="1"/>
  <c r="H24" i="143"/>
  <c r="G24" i="143"/>
  <c r="I24" i="143"/>
  <c r="D25" i="143"/>
  <c r="E24" i="143"/>
  <c r="Z23" i="143" l="1"/>
  <c r="AC23" i="143"/>
  <c r="W24" i="143" a="1"/>
  <c r="W24" i="143" s="1"/>
  <c r="V24" i="143" a="1"/>
  <c r="V24" i="143" s="1"/>
  <c r="U24" i="143" a="1"/>
  <c r="U24" i="143" s="1"/>
  <c r="X18" i="135"/>
  <c r="X19" i="135" s="1"/>
  <c r="X20" i="135" a="1"/>
  <c r="X20" i="135" s="1"/>
  <c r="Z16" i="135"/>
  <c r="Y17" i="135"/>
  <c r="Y14" i="135"/>
  <c r="N15" i="135"/>
  <c r="AB23" i="143"/>
  <c r="AD22" i="143"/>
  <c r="AE22" i="143" s="1"/>
  <c r="AA23" i="143"/>
  <c r="P23" i="143"/>
  <c r="R23" i="143" s="1"/>
  <c r="O23" i="143"/>
  <c r="Q24" i="143" a="1"/>
  <c r="Q24" i="143" s="1"/>
  <c r="N24" i="143"/>
  <c r="K24" i="143" a="1"/>
  <c r="K24" i="143" s="1"/>
  <c r="F25" i="143"/>
  <c r="J25" i="143"/>
  <c r="I25" i="143"/>
  <c r="D26" i="143"/>
  <c r="G25" i="143"/>
  <c r="H25" i="143"/>
  <c r="E25" i="143"/>
  <c r="Z24" i="143" l="1"/>
  <c r="AC24" i="143"/>
  <c r="W25" i="143" a="1"/>
  <c r="W25" i="143" s="1"/>
  <c r="V25" i="143" a="1"/>
  <c r="V25" i="143" s="1"/>
  <c r="U25" i="143" a="1"/>
  <c r="U25" i="143" s="1"/>
  <c r="Y18" i="135"/>
  <c r="Y19" i="135" s="1"/>
  <c r="Y20" i="135" a="1"/>
  <c r="Y20" i="135" s="1"/>
  <c r="AA16" i="135"/>
  <c r="Z17" i="135"/>
  <c r="Z14" i="135"/>
  <c r="O15" i="135"/>
  <c r="P15" i="135"/>
  <c r="AB24" i="143"/>
  <c r="AD23" i="143"/>
  <c r="AE23" i="143" s="1"/>
  <c r="AA24" i="143"/>
  <c r="P24" i="143"/>
  <c r="R24" i="143" s="1"/>
  <c r="O24" i="143"/>
  <c r="Q25" i="143" a="1"/>
  <c r="Q25" i="143" s="1"/>
  <c r="N25" i="143"/>
  <c r="K25" i="143" a="1"/>
  <c r="K25" i="143" s="1"/>
  <c r="F26" i="143"/>
  <c r="J26" i="143"/>
  <c r="I26" i="143"/>
  <c r="H26" i="143"/>
  <c r="G26" i="143"/>
  <c r="E26" i="143"/>
  <c r="D27" i="143"/>
  <c r="Z25" i="143" l="1"/>
  <c r="AC25" i="143"/>
  <c r="W26" i="143" a="1"/>
  <c r="W26" i="143" s="1"/>
  <c r="V26" i="143" a="1"/>
  <c r="V26" i="143" s="1"/>
  <c r="U26" i="143" a="1"/>
  <c r="U26" i="143" s="1"/>
  <c r="Z18" i="135"/>
  <c r="Z19" i="135" s="1"/>
  <c r="Z20" i="135" a="1"/>
  <c r="Z20" i="135" s="1"/>
  <c r="AB16" i="135"/>
  <c r="AA17" i="135"/>
  <c r="AA14" i="135"/>
  <c r="Q15" i="135"/>
  <c r="AD24" i="143"/>
  <c r="AE24" i="143" s="1"/>
  <c r="AB25" i="143"/>
  <c r="AA25" i="143"/>
  <c r="P25" i="143"/>
  <c r="R25" i="143" s="1"/>
  <c r="O25" i="143"/>
  <c r="Q26" i="143" a="1"/>
  <c r="Q26" i="143" s="1"/>
  <c r="N26" i="143"/>
  <c r="K26" i="143" a="1"/>
  <c r="K26" i="143" s="1"/>
  <c r="F27" i="143"/>
  <c r="J27" i="143"/>
  <c r="D28" i="143"/>
  <c r="H27" i="143"/>
  <c r="I27" i="143"/>
  <c r="G27" i="143"/>
  <c r="E27" i="143"/>
  <c r="Z26" i="143" l="1"/>
  <c r="AC26" i="143"/>
  <c r="W27" i="143" a="1"/>
  <c r="W27" i="143" s="1"/>
  <c r="V27" i="143" a="1"/>
  <c r="V27" i="143" s="1"/>
  <c r="U27" i="143" a="1"/>
  <c r="U27" i="143" s="1"/>
  <c r="AA18" i="135"/>
  <c r="AD25" i="143"/>
  <c r="AE25" i="143" s="1"/>
  <c r="AA20" i="135" a="1"/>
  <c r="AA20" i="135" s="1"/>
  <c r="AC16" i="135"/>
  <c r="AB17" i="135"/>
  <c r="AB14" i="135"/>
  <c r="R15" i="135"/>
  <c r="AB26" i="143"/>
  <c r="AA26" i="143"/>
  <c r="P26" i="143"/>
  <c r="R26" i="143" s="1"/>
  <c r="O26" i="143"/>
  <c r="Q27" i="143" a="1"/>
  <c r="Q27" i="143" s="1"/>
  <c r="N27" i="143"/>
  <c r="K27" i="143" a="1"/>
  <c r="K27" i="143" s="1"/>
  <c r="F28" i="143"/>
  <c r="J28" i="143"/>
  <c r="D29" i="143"/>
  <c r="G28" i="143"/>
  <c r="H28" i="143"/>
  <c r="E28" i="143"/>
  <c r="I28" i="143"/>
  <c r="Z27" i="143" l="1"/>
  <c r="AC27" i="143"/>
  <c r="W28" i="143" a="1"/>
  <c r="W28" i="143" s="1"/>
  <c r="V28" i="143" a="1"/>
  <c r="V28" i="143" s="1"/>
  <c r="U28" i="143" a="1"/>
  <c r="U28" i="143" s="1"/>
  <c r="AA19" i="135"/>
  <c r="AB18" i="135"/>
  <c r="AD26" i="143"/>
  <c r="AE26" i="143" s="1"/>
  <c r="AB20" i="135" a="1"/>
  <c r="AB20" i="135" s="1"/>
  <c r="AD16" i="135"/>
  <c r="AC17" i="135"/>
  <c r="AC14" i="135"/>
  <c r="S15" i="135"/>
  <c r="AB27" i="143"/>
  <c r="Q28" i="143" a="1"/>
  <c r="Q28" i="143" s="1"/>
  <c r="AA27" i="143"/>
  <c r="P27" i="143"/>
  <c r="R27" i="143" s="1"/>
  <c r="O27" i="143"/>
  <c r="N28" i="143"/>
  <c r="K28" i="143" a="1"/>
  <c r="K28" i="143" s="1"/>
  <c r="F29" i="143"/>
  <c r="J29" i="143"/>
  <c r="I29" i="143"/>
  <c r="H29" i="143"/>
  <c r="D30" i="143"/>
  <c r="G29" i="143"/>
  <c r="E29" i="143"/>
  <c r="Z28" i="143" l="1"/>
  <c r="AC28" i="143"/>
  <c r="W29" i="143" a="1"/>
  <c r="W29" i="143" s="1"/>
  <c r="V29" i="143" a="1"/>
  <c r="V29" i="143" s="1"/>
  <c r="U29" i="143" a="1"/>
  <c r="U29" i="143" s="1"/>
  <c r="AB19" i="135"/>
  <c r="AC18" i="135"/>
  <c r="AC19" i="135" s="1"/>
  <c r="AD27" i="143"/>
  <c r="AE27" i="143" s="1"/>
  <c r="AC20" i="135" a="1"/>
  <c r="AC20" i="135" s="1"/>
  <c r="AE16" i="135"/>
  <c r="AD17" i="135"/>
  <c r="AD14" i="135"/>
  <c r="T15" i="135"/>
  <c r="AB28" i="143"/>
  <c r="AA28" i="143"/>
  <c r="P28" i="143"/>
  <c r="R28" i="143" s="1"/>
  <c r="O28" i="143"/>
  <c r="Q29" i="143" a="1"/>
  <c r="Q29" i="143" s="1"/>
  <c r="N29" i="143"/>
  <c r="K29" i="143" a="1"/>
  <c r="K29" i="143" s="1"/>
  <c r="F30" i="143"/>
  <c r="J30" i="143"/>
  <c r="E30" i="143"/>
  <c r="D31" i="143"/>
  <c r="I30" i="143"/>
  <c r="G30" i="143"/>
  <c r="H30" i="143"/>
  <c r="Z29" i="143" l="1"/>
  <c r="AC29" i="143"/>
  <c r="W30" i="143" a="1"/>
  <c r="W30" i="143" s="1"/>
  <c r="V30" i="143" a="1"/>
  <c r="V30" i="143" s="1"/>
  <c r="U30" i="143" a="1"/>
  <c r="U30" i="143" s="1"/>
  <c r="AD18" i="135"/>
  <c r="AD19" i="135" s="1"/>
  <c r="Q30" i="143" a="1"/>
  <c r="Q30" i="143" s="1"/>
  <c r="AD20" i="135" a="1"/>
  <c r="AD20" i="135" s="1"/>
  <c r="AF16" i="135"/>
  <c r="AE17" i="135"/>
  <c r="AE14" i="135"/>
  <c r="U15" i="135"/>
  <c r="AB29" i="143"/>
  <c r="AA29" i="143"/>
  <c r="AD28" i="143"/>
  <c r="AE28" i="143" s="1"/>
  <c r="P29" i="143"/>
  <c r="R29" i="143" s="1"/>
  <c r="O29" i="143"/>
  <c r="N30" i="143"/>
  <c r="K30" i="143" a="1"/>
  <c r="K30" i="143" s="1"/>
  <c r="F31" i="143"/>
  <c r="J31" i="143"/>
  <c r="D32" i="143"/>
  <c r="E31" i="143"/>
  <c r="H31" i="143"/>
  <c r="I31" i="143"/>
  <c r="G31" i="143"/>
  <c r="Z30" i="143" l="1"/>
  <c r="AC30" i="143"/>
  <c r="W31" i="143" a="1"/>
  <c r="W31" i="143" s="1"/>
  <c r="V31" i="143" a="1"/>
  <c r="V31" i="143" s="1"/>
  <c r="U31" i="143" a="1"/>
  <c r="U31" i="143" s="1"/>
  <c r="AA30" i="143"/>
  <c r="AE18" i="135"/>
  <c r="AE19" i="135" s="1"/>
  <c r="AE20" i="135" a="1"/>
  <c r="AE20" i="135" s="1"/>
  <c r="AG16" i="135"/>
  <c r="AF17" i="135"/>
  <c r="AF14" i="135"/>
  <c r="V15" i="135"/>
  <c r="AB30" i="143"/>
  <c r="AD29" i="143"/>
  <c r="AE29" i="143" s="1"/>
  <c r="Q31" i="143" a="1"/>
  <c r="Q31" i="143" s="1"/>
  <c r="P30" i="143"/>
  <c r="R30" i="143" s="1"/>
  <c r="O30" i="143"/>
  <c r="N31" i="143"/>
  <c r="K31" i="143" a="1"/>
  <c r="K31" i="143" s="1"/>
  <c r="F32" i="143"/>
  <c r="J32" i="143"/>
  <c r="H32" i="143"/>
  <c r="D33" i="143"/>
  <c r="G32" i="143"/>
  <c r="E32" i="143"/>
  <c r="I32" i="143"/>
  <c r="W15" i="135"/>
  <c r="Z31" i="143" l="1"/>
  <c r="AC31" i="143"/>
  <c r="U32" i="143" a="1"/>
  <c r="U32" i="143" s="1"/>
  <c r="W32" i="143" a="1"/>
  <c r="W32" i="143" s="1"/>
  <c r="V32" i="143" a="1"/>
  <c r="V32" i="143" s="1"/>
  <c r="AF18" i="135"/>
  <c r="AF19" i="135" s="1"/>
  <c r="AD30" i="143"/>
  <c r="AE30" i="143" s="1"/>
  <c r="AF20" i="135" a="1"/>
  <c r="AF20" i="135" s="1"/>
  <c r="AH16" i="135"/>
  <c r="AG17" i="135"/>
  <c r="AG14" i="135"/>
  <c r="AB31" i="143"/>
  <c r="AA31" i="143"/>
  <c r="P31" i="143"/>
  <c r="R31" i="143" s="1"/>
  <c r="O31" i="143"/>
  <c r="Q32" i="143" a="1"/>
  <c r="Q32" i="143" s="1"/>
  <c r="N32" i="143"/>
  <c r="K32" i="143" a="1"/>
  <c r="K32" i="143" s="1"/>
  <c r="F33" i="143"/>
  <c r="J33" i="143"/>
  <c r="E33" i="143"/>
  <c r="I33" i="143"/>
  <c r="D34" i="143"/>
  <c r="G33" i="143"/>
  <c r="H33" i="143"/>
  <c r="Z32" i="143" l="1"/>
  <c r="AC32" i="143"/>
  <c r="W33" i="143" a="1"/>
  <c r="W33" i="143" s="1"/>
  <c r="V33" i="143" a="1"/>
  <c r="V33" i="143" s="1"/>
  <c r="U33" i="143" a="1"/>
  <c r="U33" i="143" s="1"/>
  <c r="AG18" i="135"/>
  <c r="AG19" i="135" s="1"/>
  <c r="AG20" i="135" a="1"/>
  <c r="AG20" i="135" s="1"/>
  <c r="AI16" i="135"/>
  <c r="AH17" i="135"/>
  <c r="AH14" i="135"/>
  <c r="X15" i="135"/>
  <c r="AD31" i="143"/>
  <c r="AE31" i="143" s="1"/>
  <c r="AB32" i="143"/>
  <c r="AA32" i="143"/>
  <c r="Q33" i="143" a="1"/>
  <c r="Q33" i="143" s="1"/>
  <c r="P32" i="143"/>
  <c r="R32" i="143" s="1"/>
  <c r="O32" i="143"/>
  <c r="N33" i="143"/>
  <c r="K33" i="143" a="1"/>
  <c r="K33" i="143" s="1"/>
  <c r="F34" i="143"/>
  <c r="J34" i="143"/>
  <c r="I34" i="143"/>
  <c r="D35" i="143"/>
  <c r="H34" i="143"/>
  <c r="E34" i="143"/>
  <c r="G34" i="143"/>
  <c r="Z33" i="143" l="1"/>
  <c r="AC33" i="143"/>
  <c r="W34" i="143" a="1"/>
  <c r="W34" i="143" s="1"/>
  <c r="V34" i="143" a="1"/>
  <c r="V34" i="143" s="1"/>
  <c r="U34" i="143" a="1"/>
  <c r="U34" i="143" s="1"/>
  <c r="AH18" i="135"/>
  <c r="AH19" i="135" s="1"/>
  <c r="AH20" i="135" a="1"/>
  <c r="AH20" i="135" s="1"/>
  <c r="AJ16" i="135"/>
  <c r="AI17" i="135"/>
  <c r="AI14" i="135"/>
  <c r="Y15" i="135"/>
  <c r="AB33" i="143"/>
  <c r="AD32" i="143"/>
  <c r="AE32" i="143" s="1"/>
  <c r="P33" i="143"/>
  <c r="R33" i="143" s="1"/>
  <c r="AA33" i="143" s="1"/>
  <c r="O33" i="143"/>
  <c r="Q34" i="143" a="1"/>
  <c r="Q34" i="143" s="1"/>
  <c r="N34" i="143"/>
  <c r="K34" i="143" a="1"/>
  <c r="K34" i="143" s="1"/>
  <c r="F35" i="143"/>
  <c r="J35" i="143"/>
  <c r="H35" i="143"/>
  <c r="I35" i="143"/>
  <c r="E35" i="143"/>
  <c r="G35" i="143"/>
  <c r="D36" i="143"/>
  <c r="Z34" i="143" l="1"/>
  <c r="AC34" i="143"/>
  <c r="W35" i="143" a="1"/>
  <c r="W35" i="143" s="1"/>
  <c r="V35" i="143" a="1"/>
  <c r="V35" i="143" s="1"/>
  <c r="U35" i="143" a="1"/>
  <c r="U35" i="143" s="1"/>
  <c r="AI18" i="135"/>
  <c r="AD33" i="143"/>
  <c r="AE33" i="143" s="1"/>
  <c r="AI20" i="135" a="1"/>
  <c r="AI20" i="135" s="1"/>
  <c r="AJ17" i="135"/>
  <c r="J25" i="145" s="1"/>
  <c r="AJ14" i="135"/>
  <c r="Z15" i="135"/>
  <c r="AB34" i="143"/>
  <c r="P34" i="143"/>
  <c r="R34" i="143" s="1"/>
  <c r="AA34" i="143" s="1"/>
  <c r="O34" i="143"/>
  <c r="Q35" i="143" a="1"/>
  <c r="Q35" i="143" s="1"/>
  <c r="N35" i="143"/>
  <c r="K35" i="143" a="1"/>
  <c r="K35" i="143" s="1"/>
  <c r="F36" i="143"/>
  <c r="J36" i="143"/>
  <c r="I36" i="143"/>
  <c r="G36" i="143"/>
  <c r="D37" i="143"/>
  <c r="E36" i="143"/>
  <c r="H36" i="143"/>
  <c r="Z35" i="143" l="1"/>
  <c r="AC35" i="143"/>
  <c r="W36" i="143" a="1"/>
  <c r="W36" i="143" s="1"/>
  <c r="V36" i="143" a="1"/>
  <c r="V36" i="143" s="1"/>
  <c r="U36" i="143" a="1"/>
  <c r="U36" i="143" s="1"/>
  <c r="AI19" i="135"/>
  <c r="AJ18" i="135"/>
  <c r="AJ20" i="135" a="1"/>
  <c r="AJ20" i="135" s="1"/>
  <c r="AA15" i="135"/>
  <c r="AB35" i="143"/>
  <c r="AA35" i="143"/>
  <c r="AD34" i="143"/>
  <c r="AE34" i="143" s="1"/>
  <c r="P35" i="143"/>
  <c r="R35" i="143" s="1"/>
  <c r="O35" i="143"/>
  <c r="Q36" i="143" a="1"/>
  <c r="Q36" i="143" s="1"/>
  <c r="N36" i="143"/>
  <c r="K36" i="143" a="1"/>
  <c r="K36" i="143" s="1"/>
  <c r="F37" i="143"/>
  <c r="J37" i="143"/>
  <c r="H37" i="143"/>
  <c r="E37" i="143"/>
  <c r="G37" i="143"/>
  <c r="D38" i="143"/>
  <c r="I37" i="143"/>
  <c r="Z36" i="143" l="1"/>
  <c r="AC36" i="143"/>
  <c r="V37" i="143" a="1"/>
  <c r="V37" i="143" s="1"/>
  <c r="U37" i="143" a="1"/>
  <c r="U37" i="143" s="1"/>
  <c r="W37" i="143" a="1"/>
  <c r="W37" i="143" s="1"/>
  <c r="J31" i="145" a="1"/>
  <c r="J31" i="145" s="1"/>
  <c r="V31" i="145" s="1"/>
  <c r="J32" i="145" a="1"/>
  <c r="J32" i="145" s="1"/>
  <c r="V32" i="145" s="1"/>
  <c r="J34" i="145" a="1"/>
  <c r="J34" i="145" s="1"/>
  <c r="V34" i="145" s="1"/>
  <c r="J33" i="145" a="1"/>
  <c r="J33" i="145" s="1"/>
  <c r="V33" i="145" s="1"/>
  <c r="J35" i="145" a="1"/>
  <c r="J35" i="145" s="1"/>
  <c r="V35" i="145" s="1"/>
  <c r="J29" i="145" a="1"/>
  <c r="J29" i="145" s="1"/>
  <c r="V29" i="145" s="1"/>
  <c r="J49" i="145"/>
  <c r="V49" i="145" s="1"/>
  <c r="J30" i="145" a="1"/>
  <c r="J30" i="145" s="1"/>
  <c r="V30" i="145" s="1"/>
  <c r="AJ19" i="135"/>
  <c r="AB15" i="135"/>
  <c r="AB36" i="143"/>
  <c r="AD35" i="143"/>
  <c r="AE35" i="143" s="1"/>
  <c r="AA36" i="143"/>
  <c r="Q37" i="143" a="1"/>
  <c r="Q37" i="143" s="1"/>
  <c r="P36" i="143"/>
  <c r="R36" i="143" s="1"/>
  <c r="O36" i="143"/>
  <c r="N37" i="143"/>
  <c r="K37" i="143" a="1"/>
  <c r="K37" i="143" s="1"/>
  <c r="F38" i="143"/>
  <c r="J38" i="143"/>
  <c r="D39" i="143"/>
  <c r="H38" i="143"/>
  <c r="E38" i="143"/>
  <c r="G38" i="143"/>
  <c r="I38" i="143"/>
  <c r="Z37" i="143" l="1"/>
  <c r="AC37" i="143"/>
  <c r="AA37" i="143"/>
  <c r="W38" i="143" a="1"/>
  <c r="W38" i="143" s="1"/>
  <c r="V38" i="143" a="1"/>
  <c r="V38" i="143" s="1"/>
  <c r="U38" i="143" a="1"/>
  <c r="U38" i="143" s="1"/>
  <c r="V41" i="145"/>
  <c r="AD36" i="143"/>
  <c r="AE36" i="143" s="1"/>
  <c r="AC15" i="135"/>
  <c r="AB37" i="143"/>
  <c r="Q38" i="143" a="1"/>
  <c r="Q38" i="143" s="1"/>
  <c r="P37" i="143"/>
  <c r="R37" i="143" s="1"/>
  <c r="O37" i="143"/>
  <c r="N38" i="143"/>
  <c r="K38" i="143" a="1"/>
  <c r="K38" i="143" s="1"/>
  <c r="F39" i="143"/>
  <c r="J39" i="143"/>
  <c r="D40" i="143"/>
  <c r="G39" i="143"/>
  <c r="H39" i="143"/>
  <c r="I39" i="143"/>
  <c r="E39" i="143"/>
  <c r="Z38" i="143" l="1"/>
  <c r="AC38" i="143"/>
  <c r="W39" i="143" a="1"/>
  <c r="W39" i="143" s="1"/>
  <c r="V39" i="143" a="1"/>
  <c r="V39" i="143" s="1"/>
  <c r="U39" i="143" a="1"/>
  <c r="U39" i="143" s="1"/>
  <c r="AD37" i="143"/>
  <c r="AE37" i="143" s="1"/>
  <c r="AD15" i="135"/>
  <c r="AB38" i="143"/>
  <c r="Q39" i="143" a="1"/>
  <c r="Q39" i="143" s="1"/>
  <c r="P38" i="143"/>
  <c r="R38" i="143" s="1"/>
  <c r="AA38" i="143" s="1"/>
  <c r="O38" i="143"/>
  <c r="N39" i="143"/>
  <c r="K39" i="143" a="1"/>
  <c r="K39" i="143" s="1"/>
  <c r="F40" i="143"/>
  <c r="J40" i="143"/>
  <c r="D41" i="143"/>
  <c r="I40" i="143"/>
  <c r="E40" i="143"/>
  <c r="H40" i="143"/>
  <c r="G40" i="143"/>
  <c r="Z39" i="143" l="1"/>
  <c r="AC39" i="143"/>
  <c r="W40" i="143" a="1"/>
  <c r="W40" i="143" s="1"/>
  <c r="V40" i="143" a="1"/>
  <c r="V40" i="143" s="1"/>
  <c r="U40" i="143" a="1"/>
  <c r="U40" i="143" s="1"/>
  <c r="AE15" i="135"/>
  <c r="AB39" i="143"/>
  <c r="AD38" i="143"/>
  <c r="AE38" i="143" s="1"/>
  <c r="Q40" i="143" a="1"/>
  <c r="Q40" i="143" s="1"/>
  <c r="P39" i="143"/>
  <c r="R39" i="143" s="1"/>
  <c r="AA39" i="143" s="1"/>
  <c r="O39" i="143"/>
  <c r="N40" i="143"/>
  <c r="K40" i="143" a="1"/>
  <c r="K40" i="143" s="1"/>
  <c r="F41" i="143"/>
  <c r="J41" i="143"/>
  <c r="G41" i="143"/>
  <c r="E41" i="143"/>
  <c r="H41" i="143"/>
  <c r="D42" i="143"/>
  <c r="I41" i="143"/>
  <c r="Z40" i="143" l="1"/>
  <c r="W41" i="143" a="1"/>
  <c r="W41" i="143" s="1"/>
  <c r="V41" i="143" a="1"/>
  <c r="V41" i="143" s="1"/>
  <c r="U41" i="143" a="1"/>
  <c r="U41" i="143" s="1"/>
  <c r="Z41" i="143" s="1"/>
  <c r="AC40" i="143"/>
  <c r="AF15" i="135"/>
  <c r="AB40" i="143"/>
  <c r="AA40" i="143"/>
  <c r="AD39" i="143"/>
  <c r="AE39" i="143" s="1"/>
  <c r="Q41" i="143" a="1"/>
  <c r="Q41" i="143" s="1"/>
  <c r="P40" i="143"/>
  <c r="R40" i="143" s="1"/>
  <c r="O40" i="143"/>
  <c r="N41" i="143"/>
  <c r="K41" i="143" a="1"/>
  <c r="K41" i="143" s="1"/>
  <c r="F21" i="291" s="1" a="1"/>
  <c r="F21" i="291" s="1"/>
  <c r="F42" i="143"/>
  <c r="J42" i="143"/>
  <c r="I42" i="143"/>
  <c r="D43" i="143"/>
  <c r="E42" i="143"/>
  <c r="H42" i="143"/>
  <c r="G42" i="143"/>
  <c r="F31" i="291" l="1"/>
  <c r="F34" i="291"/>
  <c r="W42" i="143" a="1"/>
  <c r="W42" i="143" s="1"/>
  <c r="V42" i="143" a="1"/>
  <c r="V42" i="143" s="1"/>
  <c r="U42" i="143" a="1"/>
  <c r="U42" i="143" s="1"/>
  <c r="Z42" i="143" s="1"/>
  <c r="AC41" i="143"/>
  <c r="AB41" i="143"/>
  <c r="AA41" i="143"/>
  <c r="AD40" i="143"/>
  <c r="AE40" i="143" s="1"/>
  <c r="P41" i="143"/>
  <c r="R41" i="143" s="1"/>
  <c r="O41" i="143"/>
  <c r="Q42" i="143" a="1"/>
  <c r="Q42" i="143" s="1"/>
  <c r="N42" i="143"/>
  <c r="K42" i="143" a="1"/>
  <c r="K42" i="143" s="1"/>
  <c r="G21" i="291" s="1" a="1"/>
  <c r="G21" i="291" s="1"/>
  <c r="F43" i="143"/>
  <c r="J43" i="143"/>
  <c r="D44" i="143"/>
  <c r="I43" i="143"/>
  <c r="G43" i="143"/>
  <c r="E43" i="143"/>
  <c r="H43" i="143"/>
  <c r="G31" i="291" l="1"/>
  <c r="G34" i="291"/>
  <c r="U43" i="143" a="1"/>
  <c r="U43" i="143" s="1"/>
  <c r="W43" i="143" a="1"/>
  <c r="W43" i="143" s="1"/>
  <c r="V43" i="143" a="1"/>
  <c r="V43" i="143" s="1"/>
  <c r="AC42" i="143"/>
  <c r="AG15" i="135"/>
  <c r="AB42" i="143"/>
  <c r="AD41" i="143"/>
  <c r="AE41" i="143" s="1"/>
  <c r="AA42" i="143"/>
  <c r="P42" i="143"/>
  <c r="R42" i="143" s="1"/>
  <c r="O42" i="143"/>
  <c r="Q43" i="143" a="1"/>
  <c r="Q43" i="143" s="1"/>
  <c r="N43" i="143"/>
  <c r="K43" i="143" a="1"/>
  <c r="K43" i="143" s="1"/>
  <c r="H21" i="291" s="1" a="1"/>
  <c r="H21" i="291" s="1"/>
  <c r="F44" i="143"/>
  <c r="J44" i="143"/>
  <c r="D45" i="143"/>
  <c r="I44" i="143"/>
  <c r="E44" i="143"/>
  <c r="G44" i="143"/>
  <c r="H44" i="143"/>
  <c r="Z43" i="143" l="1"/>
  <c r="H31" i="291"/>
  <c r="H34" i="291"/>
  <c r="V44" i="143" a="1"/>
  <c r="V44" i="143" s="1"/>
  <c r="W44" i="143" a="1"/>
  <c r="W44" i="143" s="1"/>
  <c r="U44" i="143" a="1"/>
  <c r="U44" i="143" s="1"/>
  <c r="Z44" i="143" s="1"/>
  <c r="AC43" i="143"/>
  <c r="AD42" i="143"/>
  <c r="AE42" i="143" s="1"/>
  <c r="AJ15" i="135"/>
  <c r="AH15" i="135"/>
  <c r="AI15" i="135"/>
  <c r="AL28" i="135"/>
  <c r="AM19" i="135"/>
  <c r="AB43" i="143"/>
  <c r="AA43" i="143"/>
  <c r="P43" i="143"/>
  <c r="R43" i="143" s="1"/>
  <c r="O43" i="143"/>
  <c r="Q44" i="143" a="1"/>
  <c r="Q44" i="143" s="1"/>
  <c r="N44" i="143"/>
  <c r="K44" i="143" a="1"/>
  <c r="K44" i="143" s="1"/>
  <c r="I21" i="291" s="1" a="1"/>
  <c r="I21" i="291" s="1"/>
  <c r="F45" i="143"/>
  <c r="J45" i="143"/>
  <c r="D46" i="143"/>
  <c r="G45" i="143"/>
  <c r="H45" i="143"/>
  <c r="E45" i="143"/>
  <c r="I45" i="143"/>
  <c r="I31" i="291" l="1"/>
  <c r="I34" i="291"/>
  <c r="U45" i="143" a="1"/>
  <c r="U45" i="143" s="1"/>
  <c r="W45" i="143" a="1"/>
  <c r="W45" i="143" s="1"/>
  <c r="V45" i="143" a="1"/>
  <c r="V45" i="143" s="1"/>
  <c r="AC44" i="143"/>
  <c r="J233" i="145"/>
  <c r="J60" i="145"/>
  <c r="H8" i="139" s="1"/>
  <c r="AB44" i="143"/>
  <c r="AD43" i="143"/>
  <c r="AE43" i="143" s="1"/>
  <c r="AM20" i="135"/>
  <c r="J50" i="145" s="1"/>
  <c r="AA44" i="143"/>
  <c r="P44" i="143"/>
  <c r="R44" i="143" s="1"/>
  <c r="O44" i="143"/>
  <c r="Q45" i="143" a="1"/>
  <c r="Q45" i="143" s="1"/>
  <c r="N45" i="143"/>
  <c r="K45" i="143" a="1"/>
  <c r="K45" i="143" s="1"/>
  <c r="J21" i="291" s="1" a="1"/>
  <c r="J21" i="291" s="1"/>
  <c r="F46" i="143"/>
  <c r="J46" i="143"/>
  <c r="AL17" i="135" a="1"/>
  <c r="AL17" i="135" s="1"/>
  <c r="I46" i="143"/>
  <c r="E46" i="143"/>
  <c r="G46" i="143"/>
  <c r="H46" i="143"/>
  <c r="D47" i="143"/>
  <c r="Z45" i="143" l="1"/>
  <c r="J31" i="291"/>
  <c r="J34" i="291"/>
  <c r="W46" i="143" a="1"/>
  <c r="W46" i="143" s="1"/>
  <c r="V46" i="143" a="1"/>
  <c r="V46" i="143" s="1"/>
  <c r="U46" i="143" a="1"/>
  <c r="U46" i="143" s="1"/>
  <c r="AC45" i="143"/>
  <c r="J61" i="145"/>
  <c r="J234" i="145"/>
  <c r="V233" i="145"/>
  <c r="V60" i="145"/>
  <c r="V50" i="145"/>
  <c r="J26" i="145"/>
  <c r="AB45" i="143"/>
  <c r="AD44" i="143"/>
  <c r="AE44" i="143" s="1"/>
  <c r="AF8" i="139"/>
  <c r="Q46" i="143" a="1"/>
  <c r="Q46" i="143" s="1"/>
  <c r="P45" i="143"/>
  <c r="R45" i="143" s="1"/>
  <c r="AA45" i="143" s="1"/>
  <c r="O45" i="143"/>
  <c r="N46" i="143"/>
  <c r="K46" i="143" a="1"/>
  <c r="K46" i="143" s="1"/>
  <c r="AC46" i="143" s="1"/>
  <c r="F47" i="143"/>
  <c r="J47" i="143"/>
  <c r="D48" i="143"/>
  <c r="E47" i="143"/>
  <c r="H47" i="143"/>
  <c r="I47" i="143"/>
  <c r="G47" i="143"/>
  <c r="K21" i="291" l="1" a="1"/>
  <c r="K21" i="291" s="1"/>
  <c r="K34" i="291" s="1"/>
  <c r="Z46" i="143"/>
  <c r="V47" i="143" a="1"/>
  <c r="V47" i="143" s="1"/>
  <c r="U47" i="143" a="1"/>
  <c r="U47" i="143" s="1"/>
  <c r="W47" i="143" a="1"/>
  <c r="W47" i="143" s="1"/>
  <c r="V234" i="145"/>
  <c r="J235" i="145"/>
  <c r="J62" i="145"/>
  <c r="V61" i="145"/>
  <c r="M74" i="144"/>
  <c r="N74" i="144" s="1"/>
  <c r="L62" i="144"/>
  <c r="AB46" i="143"/>
  <c r="AD45" i="143"/>
  <c r="AE45" i="143" s="1"/>
  <c r="Q47" i="143" a="1"/>
  <c r="Q47" i="143" s="1"/>
  <c r="P46" i="143"/>
  <c r="R46" i="143" s="1"/>
  <c r="AA46" i="143" s="1"/>
  <c r="O46" i="143"/>
  <c r="N47" i="143"/>
  <c r="K47" i="143" a="1"/>
  <c r="K47" i="143" s="1"/>
  <c r="F48" i="143"/>
  <c r="J48" i="143"/>
  <c r="I48" i="143"/>
  <c r="G48" i="143"/>
  <c r="D49" i="143"/>
  <c r="E48" i="143"/>
  <c r="H48" i="143"/>
  <c r="K31" i="291" l="1"/>
  <c r="Z47" i="143"/>
  <c r="AC47" i="143"/>
  <c r="L21" i="291" a="1"/>
  <c r="L21" i="291" s="1"/>
  <c r="U48" i="143" a="1"/>
  <c r="U48" i="143" s="1"/>
  <c r="V48" i="143" a="1"/>
  <c r="V48" i="143" s="1"/>
  <c r="W48" i="143" a="1"/>
  <c r="W48" i="143" s="1"/>
  <c r="AF7" i="139"/>
  <c r="K235" i="145"/>
  <c r="K62" i="145"/>
  <c r="J125" i="145"/>
  <c r="N125" i="145"/>
  <c r="L125" i="145"/>
  <c r="P125" i="145"/>
  <c r="Q125" i="145"/>
  <c r="O125" i="145"/>
  <c r="U125" i="145"/>
  <c r="S125" i="145"/>
  <c r="M125" i="145"/>
  <c r="R125" i="145"/>
  <c r="T125" i="145"/>
  <c r="K125" i="145"/>
  <c r="L74" i="144"/>
  <c r="AB47" i="143"/>
  <c r="AD46" i="143"/>
  <c r="AE46" i="143" s="1"/>
  <c r="P47" i="143"/>
  <c r="R47" i="143" s="1"/>
  <c r="AA47" i="143" s="1"/>
  <c r="O47" i="143"/>
  <c r="Q48" i="143" a="1"/>
  <c r="Q48" i="143" s="1"/>
  <c r="N48" i="143"/>
  <c r="K48" i="143" a="1"/>
  <c r="K48" i="143" s="1"/>
  <c r="M21" i="291" s="1" a="1"/>
  <c r="M21" i="291" s="1"/>
  <c r="F49" i="143"/>
  <c r="J49" i="143"/>
  <c r="H49" i="143"/>
  <c r="E49" i="143"/>
  <c r="G49" i="143"/>
  <c r="I49" i="143"/>
  <c r="D50" i="143"/>
  <c r="Z48" i="143" l="1"/>
  <c r="L31" i="291"/>
  <c r="L34" i="291"/>
  <c r="M31" i="291"/>
  <c r="M34" i="291"/>
  <c r="U49" i="143" a="1"/>
  <c r="U49" i="143" s="1"/>
  <c r="V49" i="143" a="1"/>
  <c r="V49" i="143" s="1"/>
  <c r="W49" i="143" a="1"/>
  <c r="W49" i="143" s="1"/>
  <c r="AC48" i="143"/>
  <c r="L62" i="145"/>
  <c r="L235" i="145"/>
  <c r="V125" i="145"/>
  <c r="AO17" i="135" a="1"/>
  <c r="AO17" i="135" s="1"/>
  <c r="AD47" i="143"/>
  <c r="AE47" i="143" s="1"/>
  <c r="S55" i="138"/>
  <c r="AB48" i="143"/>
  <c r="Q49" i="143" a="1"/>
  <c r="Q49" i="143" s="1"/>
  <c r="P48" i="143"/>
  <c r="R48" i="143" s="1"/>
  <c r="AA48" i="143" s="1"/>
  <c r="O48" i="143"/>
  <c r="N49" i="143"/>
  <c r="K49" i="143" a="1"/>
  <c r="K49" i="143" s="1"/>
  <c r="N21" i="291" s="1" a="1"/>
  <c r="N21" i="291" s="1"/>
  <c r="F50" i="143"/>
  <c r="J50" i="143"/>
  <c r="I50" i="143"/>
  <c r="G50" i="143"/>
  <c r="E50" i="143"/>
  <c r="D51" i="143"/>
  <c r="H50" i="143"/>
  <c r="Z49" i="143" l="1"/>
  <c r="N31" i="291"/>
  <c r="N34" i="291"/>
  <c r="W50" i="143" a="1"/>
  <c r="W50" i="143" s="1"/>
  <c r="V50" i="143" a="1"/>
  <c r="V50" i="143" s="1"/>
  <c r="U50" i="143" a="1"/>
  <c r="U50" i="143" s="1"/>
  <c r="AC49" i="143"/>
  <c r="M62" i="145"/>
  <c r="M235" i="145"/>
  <c r="AB49" i="143"/>
  <c r="AD48" i="143"/>
  <c r="AE48" i="143" s="1"/>
  <c r="P49" i="143"/>
  <c r="R49" i="143" s="1"/>
  <c r="AA49" i="143" s="1"/>
  <c r="O49" i="143"/>
  <c r="Q50" i="143" a="1"/>
  <c r="Q50" i="143" s="1"/>
  <c r="N50" i="143"/>
  <c r="K50" i="143" a="1"/>
  <c r="K50" i="143" s="1"/>
  <c r="O21" i="291" s="1" a="1"/>
  <c r="O21" i="291" s="1"/>
  <c r="F51" i="143"/>
  <c r="J51" i="143"/>
  <c r="I51" i="143"/>
  <c r="D52" i="143"/>
  <c r="G51" i="143"/>
  <c r="H51" i="143"/>
  <c r="E51" i="143"/>
  <c r="Z50" i="143" l="1"/>
  <c r="O31" i="291"/>
  <c r="O34" i="291"/>
  <c r="V51" i="143" a="1"/>
  <c r="V51" i="143" s="1"/>
  <c r="U51" i="143" a="1"/>
  <c r="U51" i="143" s="1"/>
  <c r="Z51" i="143" s="1"/>
  <c r="W51" i="143" a="1"/>
  <c r="W51" i="143" s="1"/>
  <c r="P21" i="291" a="1"/>
  <c r="P21" i="291" s="1"/>
  <c r="AC50" i="143"/>
  <c r="N62" i="145"/>
  <c r="N235" i="145"/>
  <c r="AD49" i="143"/>
  <c r="AE49" i="143" s="1"/>
  <c r="AB50" i="143"/>
  <c r="AA50" i="143"/>
  <c r="P50" i="143"/>
  <c r="R50" i="143" s="1"/>
  <c r="O50" i="143"/>
  <c r="Q51" i="143" a="1"/>
  <c r="Q51" i="143" s="1"/>
  <c r="N51" i="143"/>
  <c r="K51" i="143" a="1"/>
  <c r="K51" i="143" s="1"/>
  <c r="F52" i="143"/>
  <c r="J52" i="143"/>
  <c r="G52" i="143"/>
  <c r="H52" i="143"/>
  <c r="I52" i="143"/>
  <c r="D53" i="143"/>
  <c r="E52" i="143"/>
  <c r="P31" i="291" l="1"/>
  <c r="P34" i="291"/>
  <c r="U52" i="143" a="1"/>
  <c r="U52" i="143" s="1"/>
  <c r="W52" i="143" a="1"/>
  <c r="W52" i="143" s="1"/>
  <c r="V52" i="143" a="1"/>
  <c r="V52" i="143" s="1"/>
  <c r="AC51" i="143"/>
  <c r="O62" i="145"/>
  <c r="O235" i="145"/>
  <c r="AA51" i="143"/>
  <c r="AB51" i="143"/>
  <c r="AD50" i="143"/>
  <c r="AE50" i="143" s="1"/>
  <c r="Q52" i="143" a="1"/>
  <c r="Q52" i="143" s="1"/>
  <c r="P51" i="143"/>
  <c r="R51" i="143" s="1"/>
  <c r="O51" i="143"/>
  <c r="N52" i="143"/>
  <c r="K52" i="143" a="1"/>
  <c r="K52" i="143" s="1"/>
  <c r="F53" i="143"/>
  <c r="J53" i="143"/>
  <c r="G53" i="143"/>
  <c r="H53" i="143"/>
  <c r="I53" i="143"/>
  <c r="D54" i="143"/>
  <c r="E53" i="143"/>
  <c r="Z52" i="143" l="1"/>
  <c r="W53" i="143" a="1"/>
  <c r="W53" i="143" s="1"/>
  <c r="V53" i="143" a="1"/>
  <c r="V53" i="143" s="1"/>
  <c r="U53" i="143" a="1"/>
  <c r="U53" i="143" s="1"/>
  <c r="Z53" i="143" s="1"/>
  <c r="R21" i="291" a="1"/>
  <c r="R21" i="291" s="1"/>
  <c r="AC52" i="143"/>
  <c r="P62" i="145"/>
  <c r="P235" i="145"/>
  <c r="AD51" i="143"/>
  <c r="AE51" i="143" s="1"/>
  <c r="AB52" i="143"/>
  <c r="Q53" i="143" a="1"/>
  <c r="Q53" i="143" s="1"/>
  <c r="P52" i="143"/>
  <c r="R52" i="143" s="1"/>
  <c r="AA52" i="143" s="1"/>
  <c r="O52" i="143"/>
  <c r="N53" i="143"/>
  <c r="K53" i="143" a="1"/>
  <c r="K53" i="143" s="1"/>
  <c r="AC53" i="143" s="1"/>
  <c r="F54" i="143"/>
  <c r="J54" i="143"/>
  <c r="I54" i="143"/>
  <c r="G54" i="143"/>
  <c r="D55" i="143"/>
  <c r="H54" i="143"/>
  <c r="E54" i="143"/>
  <c r="R31" i="291" l="1"/>
  <c r="R34" i="291"/>
  <c r="V54" i="143" a="1"/>
  <c r="V54" i="143" s="1"/>
  <c r="U54" i="143" a="1"/>
  <c r="U54" i="143" s="1"/>
  <c r="W54" i="143" a="1"/>
  <c r="W54" i="143" s="1"/>
  <c r="Q62" i="145"/>
  <c r="Q235" i="145"/>
  <c r="AB53" i="143"/>
  <c r="AD52" i="143"/>
  <c r="AE52" i="143" s="1"/>
  <c r="P53" i="143"/>
  <c r="R53" i="143" s="1"/>
  <c r="AA53" i="143" s="1"/>
  <c r="O53" i="143"/>
  <c r="Q54" i="143" a="1"/>
  <c r="Q54" i="143" s="1"/>
  <c r="N54" i="143"/>
  <c r="K54" i="143" a="1"/>
  <c r="K54" i="143" s="1"/>
  <c r="AC54" i="143" s="1"/>
  <c r="F55" i="143"/>
  <c r="J55" i="143"/>
  <c r="D56" i="143"/>
  <c r="E55" i="143"/>
  <c r="I55" i="143"/>
  <c r="G55" i="143"/>
  <c r="H55" i="143"/>
  <c r="Z54" i="143" l="1"/>
  <c r="U55" i="143" a="1"/>
  <c r="U55" i="143" s="1"/>
  <c r="W55" i="143" a="1"/>
  <c r="W55" i="143" s="1"/>
  <c r="V55" i="143" a="1"/>
  <c r="V55" i="143" s="1"/>
  <c r="R62" i="145"/>
  <c r="R235" i="145"/>
  <c r="AB54" i="143"/>
  <c r="AD53" i="143"/>
  <c r="AE53" i="143" s="1"/>
  <c r="Q55" i="143" a="1"/>
  <c r="Q55" i="143" s="1"/>
  <c r="P54" i="143"/>
  <c r="R54" i="143" s="1"/>
  <c r="AA54" i="143" s="1"/>
  <c r="O54" i="143"/>
  <c r="N55" i="143"/>
  <c r="K55" i="143" a="1"/>
  <c r="K55" i="143" s="1"/>
  <c r="F56" i="143"/>
  <c r="J56" i="143"/>
  <c r="I56" i="143"/>
  <c r="H56" i="143"/>
  <c r="D57" i="143"/>
  <c r="G56" i="143"/>
  <c r="E56" i="143"/>
  <c r="Z55" i="143" l="1"/>
  <c r="W56" i="143" a="1"/>
  <c r="W56" i="143" s="1"/>
  <c r="U56" i="143" a="1"/>
  <c r="U56" i="143" s="1"/>
  <c r="Z56" i="143" s="1"/>
  <c r="V56" i="143" a="1"/>
  <c r="V56" i="143" s="1"/>
  <c r="U21" i="291" a="1"/>
  <c r="U21" i="291" s="1"/>
  <c r="AC55" i="143"/>
  <c r="S62" i="145"/>
  <c r="S235" i="145"/>
  <c r="AB55" i="143"/>
  <c r="AD54" i="143"/>
  <c r="AE54" i="143" s="1"/>
  <c r="P55" i="143"/>
  <c r="R55" i="143" s="1"/>
  <c r="AA55" i="143" s="1"/>
  <c r="O55" i="143"/>
  <c r="Q56" i="143" a="1"/>
  <c r="Q56" i="143" s="1"/>
  <c r="N56" i="143"/>
  <c r="K56" i="143" a="1"/>
  <c r="K56" i="143" s="1"/>
  <c r="F57" i="143"/>
  <c r="J57" i="143"/>
  <c r="E57" i="143"/>
  <c r="I57" i="143"/>
  <c r="G57" i="143"/>
  <c r="H57" i="143"/>
  <c r="D58" i="143"/>
  <c r="U34" i="291" l="1"/>
  <c r="U31" i="291"/>
  <c r="W57" i="143" a="1"/>
  <c r="W57" i="143" s="1"/>
  <c r="V57" i="143" a="1"/>
  <c r="V57" i="143" s="1"/>
  <c r="U57" i="143" a="1"/>
  <c r="U57" i="143" s="1"/>
  <c r="Z57" i="143" s="1"/>
  <c r="AC56" i="143"/>
  <c r="T62" i="145"/>
  <c r="T235" i="145"/>
  <c r="AD55" i="143"/>
  <c r="AE55" i="143" s="1"/>
  <c r="AB56" i="143"/>
  <c r="Q57" i="143" a="1"/>
  <c r="Q57" i="143" s="1"/>
  <c r="AA56" i="143"/>
  <c r="P56" i="143"/>
  <c r="R56" i="143" s="1"/>
  <c r="O56" i="143"/>
  <c r="N57" i="143"/>
  <c r="K57" i="143" a="1"/>
  <c r="K57" i="143" s="1"/>
  <c r="V21" i="291" s="1" a="1"/>
  <c r="V21" i="291" s="1"/>
  <c r="F58" i="143"/>
  <c r="J58" i="143"/>
  <c r="E58" i="143"/>
  <c r="H58" i="143"/>
  <c r="I58" i="143"/>
  <c r="G58" i="143"/>
  <c r="D59" i="143"/>
  <c r="V34" i="291" l="1"/>
  <c r="V31" i="291"/>
  <c r="U58" i="143" a="1"/>
  <c r="U58" i="143" s="1"/>
  <c r="W58" i="143" a="1"/>
  <c r="W58" i="143" s="1"/>
  <c r="V58" i="143" a="1"/>
  <c r="V58" i="143" s="1"/>
  <c r="AC57" i="143"/>
  <c r="U62" i="145"/>
  <c r="U235" i="145"/>
  <c r="Q58" i="143" a="1"/>
  <c r="Q58" i="143" s="1"/>
  <c r="AD56" i="143"/>
  <c r="AE56" i="143" s="1"/>
  <c r="AB57" i="143"/>
  <c r="AA57" i="143"/>
  <c r="P57" i="143"/>
  <c r="R57" i="143" s="1"/>
  <c r="O57" i="143"/>
  <c r="N58" i="143"/>
  <c r="K58" i="143" a="1"/>
  <c r="K58" i="143" s="1"/>
  <c r="AC58" i="143" s="1"/>
  <c r="F59" i="143"/>
  <c r="J59" i="143"/>
  <c r="G59" i="143"/>
  <c r="H59" i="143"/>
  <c r="D60" i="143"/>
  <c r="E59" i="143"/>
  <c r="I59" i="143"/>
  <c r="W21" i="291" l="1" a="1"/>
  <c r="W21" i="291" s="1"/>
  <c r="W31" i="291" s="1"/>
  <c r="Z58" i="143"/>
  <c r="W59" i="143" a="1"/>
  <c r="W59" i="143" s="1"/>
  <c r="U59" i="143" a="1"/>
  <c r="U59" i="143" s="1"/>
  <c r="V59" i="143" a="1"/>
  <c r="V59" i="143" s="1"/>
  <c r="V62" i="145"/>
  <c r="V235" i="145"/>
  <c r="AA58" i="143"/>
  <c r="AB58" i="143"/>
  <c r="AD57" i="143"/>
  <c r="AE57" i="143" s="1"/>
  <c r="Q59" i="143" a="1"/>
  <c r="Q59" i="143" s="1"/>
  <c r="P58" i="143"/>
  <c r="R58" i="143" s="1"/>
  <c r="O58" i="143"/>
  <c r="N59" i="143"/>
  <c r="K59" i="143" a="1"/>
  <c r="K59" i="143" s="1"/>
  <c r="X21" i="291" s="1" a="1"/>
  <c r="X21" i="291" s="1"/>
  <c r="F60" i="143"/>
  <c r="J60" i="143"/>
  <c r="D61" i="143"/>
  <c r="I60" i="143"/>
  <c r="E60" i="143"/>
  <c r="G60" i="143"/>
  <c r="H60" i="143"/>
  <c r="W34" i="291" l="1"/>
  <c r="Z59" i="143"/>
  <c r="X31" i="291"/>
  <c r="X34" i="291"/>
  <c r="V60" i="143" a="1"/>
  <c r="V60" i="143" s="1"/>
  <c r="U60" i="143" a="1"/>
  <c r="U60" i="143" s="1"/>
  <c r="W60" i="143" a="1"/>
  <c r="W60" i="143" s="1"/>
  <c r="AC59" i="143"/>
  <c r="AD58" i="143"/>
  <c r="AE58" i="143" s="1"/>
  <c r="AB59" i="143"/>
  <c r="AA59" i="143"/>
  <c r="P59" i="143"/>
  <c r="R59" i="143" s="1"/>
  <c r="O59" i="143"/>
  <c r="Q60" i="143" a="1"/>
  <c r="Q60" i="143" s="1"/>
  <c r="N60" i="143"/>
  <c r="K60" i="143" a="1"/>
  <c r="K60" i="143" s="1"/>
  <c r="AC60" i="143" s="1"/>
  <c r="F61" i="143"/>
  <c r="J61" i="143"/>
  <c r="I61" i="143"/>
  <c r="H61" i="143"/>
  <c r="D62" i="143"/>
  <c r="G61" i="143"/>
  <c r="E61" i="143"/>
  <c r="Y21" i="291" l="1" a="1"/>
  <c r="Y21" i="291" s="1"/>
  <c r="Y34" i="291" s="1"/>
  <c r="Z60" i="143"/>
  <c r="U61" i="143" a="1"/>
  <c r="U61" i="143" s="1"/>
  <c r="V61" i="143" a="1"/>
  <c r="V61" i="143" s="1"/>
  <c r="W61" i="143" a="1"/>
  <c r="W61" i="143" s="1"/>
  <c r="Z21" i="291" a="1"/>
  <c r="Z21" i="291" s="1"/>
  <c r="AD59" i="143"/>
  <c r="AE59" i="143" s="1"/>
  <c r="AB60" i="143"/>
  <c r="AA60" i="143"/>
  <c r="P60" i="143"/>
  <c r="R60" i="143" s="1"/>
  <c r="O60" i="143"/>
  <c r="Q61" i="143" a="1"/>
  <c r="Q61" i="143" s="1"/>
  <c r="N61" i="143"/>
  <c r="K61" i="143" a="1"/>
  <c r="K61" i="143" s="1"/>
  <c r="AC61" i="143" s="1"/>
  <c r="F62" i="143"/>
  <c r="J62" i="143"/>
  <c r="D63" i="143"/>
  <c r="I62" i="143"/>
  <c r="E62" i="143"/>
  <c r="H62" i="143"/>
  <c r="G62" i="143"/>
  <c r="Y31" i="291" l="1"/>
  <c r="Z61" i="143"/>
  <c r="Z34" i="291"/>
  <c r="Z31" i="291"/>
  <c r="U62" i="143" a="1"/>
  <c r="U62" i="143" s="1"/>
  <c r="V62" i="143" a="1"/>
  <c r="V62" i="143" s="1"/>
  <c r="W62" i="143" a="1"/>
  <c r="W62" i="143" s="1"/>
  <c r="AB61" i="143"/>
  <c r="AD60" i="143"/>
  <c r="AE60" i="143" s="1"/>
  <c r="AA61" i="143"/>
  <c r="P61" i="143"/>
  <c r="R61" i="143" s="1"/>
  <c r="O61" i="143"/>
  <c r="Q62" i="143" a="1"/>
  <c r="Q62" i="143" s="1"/>
  <c r="N62" i="143"/>
  <c r="K62" i="143" a="1"/>
  <c r="K62" i="143" s="1"/>
  <c r="AA21" i="291" s="1" a="1"/>
  <c r="AA21" i="291" s="1"/>
  <c r="F63" i="143"/>
  <c r="J63" i="143"/>
  <c r="D64" i="143"/>
  <c r="G63" i="143"/>
  <c r="H63" i="143"/>
  <c r="E63" i="143"/>
  <c r="I63" i="143"/>
  <c r="Z62" i="143" l="1"/>
  <c r="AA31" i="291"/>
  <c r="AA34" i="291"/>
  <c r="V63" i="143" a="1"/>
  <c r="V63" i="143" s="1"/>
  <c r="U63" i="143" a="1"/>
  <c r="U63" i="143" s="1"/>
  <c r="W63" i="143" a="1"/>
  <c r="W63" i="143" s="1"/>
  <c r="AB21" i="291" a="1"/>
  <c r="AB21" i="291" s="1"/>
  <c r="AC62" i="143"/>
  <c r="AB62" i="143"/>
  <c r="AD61" i="143"/>
  <c r="AE61" i="143" s="1"/>
  <c r="AA62" i="143"/>
  <c r="P62" i="143"/>
  <c r="R62" i="143" s="1"/>
  <c r="O62" i="143"/>
  <c r="Q63" i="143" a="1"/>
  <c r="Q63" i="143" s="1"/>
  <c r="N63" i="143"/>
  <c r="K63" i="143" a="1"/>
  <c r="K63" i="143" s="1"/>
  <c r="F64" i="143"/>
  <c r="J64" i="143"/>
  <c r="H64" i="143"/>
  <c r="D65" i="143"/>
  <c r="E64" i="143"/>
  <c r="I64" i="143"/>
  <c r="G64" i="143"/>
  <c r="Z63" i="143" l="1"/>
  <c r="AB34" i="291"/>
  <c r="AB31" i="291"/>
  <c r="U64" i="143" a="1"/>
  <c r="U64" i="143" s="1"/>
  <c r="V64" i="143" a="1"/>
  <c r="V64" i="143" s="1"/>
  <c r="W64" i="143" a="1"/>
  <c r="W64" i="143" s="1"/>
  <c r="AC21" i="291" a="1"/>
  <c r="AC21" i="291" s="1"/>
  <c r="AC63" i="143"/>
  <c r="AB63" i="143"/>
  <c r="Q64" i="143" a="1"/>
  <c r="Q64" i="143" s="1"/>
  <c r="AA63" i="143"/>
  <c r="AD62" i="143"/>
  <c r="AE62" i="143" s="1"/>
  <c r="P63" i="143"/>
  <c r="R63" i="143" s="1"/>
  <c r="O63" i="143"/>
  <c r="N64" i="143"/>
  <c r="K64" i="143" a="1"/>
  <c r="K64" i="143" s="1"/>
  <c r="F65" i="143"/>
  <c r="J65" i="143"/>
  <c r="G65" i="143"/>
  <c r="E65" i="143"/>
  <c r="I65" i="143"/>
  <c r="H65" i="143"/>
  <c r="D66" i="143"/>
  <c r="Z64" i="143" l="1"/>
  <c r="AC31" i="291"/>
  <c r="AC34" i="291"/>
  <c r="U65" i="143" a="1"/>
  <c r="U65" i="143" s="1"/>
  <c r="W65" i="143" a="1"/>
  <c r="W65" i="143" s="1"/>
  <c r="V65" i="143" a="1"/>
  <c r="V65" i="143" s="1"/>
  <c r="AC64" i="143"/>
  <c r="AB64" i="143"/>
  <c r="Q65" i="143" a="1"/>
  <c r="Q65" i="143" s="1"/>
  <c r="AA64" i="143"/>
  <c r="AD63" i="143"/>
  <c r="AE63" i="143" s="1"/>
  <c r="P64" i="143"/>
  <c r="R64" i="143" s="1"/>
  <c r="O64" i="143"/>
  <c r="N65" i="143"/>
  <c r="K65" i="143" a="1"/>
  <c r="K65" i="143" s="1"/>
  <c r="AD21" i="291" s="1" a="1"/>
  <c r="AD21" i="291" s="1"/>
  <c r="F66" i="143"/>
  <c r="J66" i="143"/>
  <c r="D67" i="143"/>
  <c r="H66" i="143"/>
  <c r="G66" i="143"/>
  <c r="E66" i="143"/>
  <c r="I66" i="143"/>
  <c r="Z65" i="143" l="1"/>
  <c r="AD34" i="291"/>
  <c r="AD31" i="291"/>
  <c r="U66" i="143" a="1"/>
  <c r="U66" i="143" s="1"/>
  <c r="W66" i="143" a="1"/>
  <c r="W66" i="143" s="1"/>
  <c r="V66" i="143" a="1"/>
  <c r="V66" i="143" s="1"/>
  <c r="AE21" i="291" a="1"/>
  <c r="AE21" i="291" s="1"/>
  <c r="AC65" i="143"/>
  <c r="AB65" i="143"/>
  <c r="AA65" i="143"/>
  <c r="AD64" i="143"/>
  <c r="AE64" i="143" s="1"/>
  <c r="Q66" i="143" a="1"/>
  <c r="Q66" i="143" s="1"/>
  <c r="P65" i="143"/>
  <c r="R65" i="143" s="1"/>
  <c r="O65" i="143"/>
  <c r="N66" i="143"/>
  <c r="K66" i="143" a="1"/>
  <c r="K66" i="143" s="1"/>
  <c r="AC66" i="143" s="1"/>
  <c r="F67" i="143"/>
  <c r="J67" i="143"/>
  <c r="H67" i="143"/>
  <c r="E67" i="143"/>
  <c r="I67" i="143"/>
  <c r="D68" i="143"/>
  <c r="G67" i="143"/>
  <c r="Z66" i="143" l="1"/>
  <c r="AE31" i="291"/>
  <c r="AE34" i="291"/>
  <c r="U67" i="143" a="1"/>
  <c r="U67" i="143" s="1"/>
  <c r="W67" i="143" a="1"/>
  <c r="W67" i="143" s="1"/>
  <c r="V67" i="143" a="1"/>
  <c r="V67" i="143" s="1"/>
  <c r="AD65" i="143"/>
  <c r="AE65" i="143" s="1"/>
  <c r="AB66" i="143"/>
  <c r="AA66" i="143"/>
  <c r="Q67" i="143" a="1"/>
  <c r="Q67" i="143" s="1"/>
  <c r="P66" i="143"/>
  <c r="R66" i="143" s="1"/>
  <c r="O66" i="143"/>
  <c r="N67" i="143"/>
  <c r="K67" i="143" a="1"/>
  <c r="K67" i="143" s="1"/>
  <c r="AC67" i="143" s="1"/>
  <c r="F68" i="143"/>
  <c r="J68" i="143"/>
  <c r="H68" i="143"/>
  <c r="G68" i="143"/>
  <c r="D69" i="143"/>
  <c r="I68" i="143"/>
  <c r="E68" i="143"/>
  <c r="Z67" i="143" l="1"/>
  <c r="V68" i="143" a="1"/>
  <c r="V68" i="143" s="1"/>
  <c r="U68" i="143" a="1"/>
  <c r="U68" i="143" s="1"/>
  <c r="Z68" i="143" s="1"/>
  <c r="W68" i="143" a="1"/>
  <c r="W68" i="143" s="1"/>
  <c r="AB67" i="143"/>
  <c r="AD66" i="143"/>
  <c r="AE66" i="143" s="1"/>
  <c r="AA67" i="143"/>
  <c r="P67" i="143"/>
  <c r="R67" i="143" s="1"/>
  <c r="O67" i="143"/>
  <c r="Q68" i="143" a="1"/>
  <c r="Q68" i="143" s="1"/>
  <c r="N68" i="143"/>
  <c r="K68" i="143" a="1"/>
  <c r="K68" i="143" s="1"/>
  <c r="AC68" i="143" s="1"/>
  <c r="F69" i="143"/>
  <c r="J69" i="143"/>
  <c r="H69" i="143"/>
  <c r="D70" i="143"/>
  <c r="I69" i="143"/>
  <c r="G69" i="143"/>
  <c r="E69" i="143"/>
  <c r="V69" i="143" l="1" a="1"/>
  <c r="V69" i="143" s="1"/>
  <c r="W69" i="143" a="1"/>
  <c r="W69" i="143" s="1"/>
  <c r="U69" i="143" a="1"/>
  <c r="U69" i="143" s="1"/>
  <c r="Z69" i="143" s="1"/>
  <c r="F21" i="290" a="1"/>
  <c r="F21" i="290" s="1"/>
  <c r="AB68" i="143"/>
  <c r="AD67" i="143"/>
  <c r="AE67" i="143" s="1"/>
  <c r="AA68" i="143"/>
  <c r="P68" i="143"/>
  <c r="R68" i="143" s="1"/>
  <c r="O68" i="143"/>
  <c r="Q69" i="143" a="1"/>
  <c r="Q69" i="143" s="1"/>
  <c r="N69" i="143"/>
  <c r="K69" i="143" a="1"/>
  <c r="K69" i="143" s="1"/>
  <c r="F70" i="143"/>
  <c r="J70" i="143"/>
  <c r="E70" i="143"/>
  <c r="H70" i="143"/>
  <c r="G70" i="143"/>
  <c r="I70" i="143"/>
  <c r="D71" i="143"/>
  <c r="F31" i="290" l="1"/>
  <c r="F34" i="290"/>
  <c r="G21" i="290" a="1"/>
  <c r="G21" i="290" s="1"/>
  <c r="V70" i="143" a="1"/>
  <c r="V70" i="143" s="1"/>
  <c r="W70" i="143" a="1"/>
  <c r="W70" i="143" s="1"/>
  <c r="U70" i="143" a="1"/>
  <c r="U70" i="143" s="1"/>
  <c r="Z70" i="143" s="1"/>
  <c r="AC69" i="143"/>
  <c r="AB69" i="143"/>
  <c r="AD68" i="143"/>
  <c r="AE68" i="143" s="1"/>
  <c r="Q70" i="143" a="1"/>
  <c r="Q70" i="143" s="1"/>
  <c r="P69" i="143"/>
  <c r="R69" i="143" s="1"/>
  <c r="AA69" i="143" s="1"/>
  <c r="O69" i="143"/>
  <c r="N70" i="143"/>
  <c r="K70" i="143" a="1"/>
  <c r="K70" i="143" s="1"/>
  <c r="F71" i="143"/>
  <c r="J71" i="143"/>
  <c r="I71" i="143"/>
  <c r="H71" i="143"/>
  <c r="G71" i="143"/>
  <c r="E71" i="143"/>
  <c r="D72" i="143"/>
  <c r="G31" i="290" l="1"/>
  <c r="G34" i="290"/>
  <c r="V71" i="143" a="1"/>
  <c r="V71" i="143" s="1"/>
  <c r="W71" i="143" a="1"/>
  <c r="W71" i="143" s="1"/>
  <c r="U71" i="143" a="1"/>
  <c r="U71" i="143" s="1"/>
  <c r="Z71" i="143" s="1"/>
  <c r="H21" i="290" a="1"/>
  <c r="H21" i="290" s="1"/>
  <c r="AC70" i="143"/>
  <c r="AB70" i="143"/>
  <c r="AA70" i="143"/>
  <c r="AD69" i="143"/>
  <c r="AE69" i="143" s="1"/>
  <c r="P70" i="143"/>
  <c r="R70" i="143" s="1"/>
  <c r="O70" i="143"/>
  <c r="Q71" i="143" a="1"/>
  <c r="Q71" i="143" s="1"/>
  <c r="N71" i="143"/>
  <c r="K71" i="143" a="1"/>
  <c r="K71" i="143" s="1"/>
  <c r="F72" i="143"/>
  <c r="J72" i="143"/>
  <c r="D73" i="143"/>
  <c r="G72" i="143"/>
  <c r="I72" i="143"/>
  <c r="H72" i="143"/>
  <c r="E72" i="143"/>
  <c r="H31" i="290" l="1"/>
  <c r="H34" i="290"/>
  <c r="V72" i="143" a="1"/>
  <c r="V72" i="143" s="1"/>
  <c r="W72" i="143" a="1"/>
  <c r="W72" i="143" s="1"/>
  <c r="U72" i="143" a="1"/>
  <c r="U72" i="143" s="1"/>
  <c r="Z72" i="143" s="1"/>
  <c r="AC71" i="143"/>
  <c r="AB71" i="143"/>
  <c r="AD70" i="143"/>
  <c r="AE70" i="143" s="1"/>
  <c r="Q72" i="143" a="1"/>
  <c r="Q72" i="143" s="1"/>
  <c r="AA71" i="143"/>
  <c r="P71" i="143"/>
  <c r="R71" i="143" s="1"/>
  <c r="O71" i="143"/>
  <c r="N72" i="143"/>
  <c r="K72" i="143" a="1"/>
  <c r="K72" i="143" s="1"/>
  <c r="AC72" i="143" s="1"/>
  <c r="F73" i="143"/>
  <c r="J73" i="143"/>
  <c r="I73" i="143"/>
  <c r="G73" i="143"/>
  <c r="E73" i="143"/>
  <c r="D74" i="143"/>
  <c r="H73" i="143"/>
  <c r="J21" i="290" l="1" a="1"/>
  <c r="J21" i="290" s="1"/>
  <c r="W73" i="143" a="1"/>
  <c r="W73" i="143" s="1"/>
  <c r="V73" i="143" a="1"/>
  <c r="V73" i="143" s="1"/>
  <c r="U73" i="143" a="1"/>
  <c r="U73" i="143" s="1"/>
  <c r="Z73" i="143" s="1"/>
  <c r="AA72" i="143"/>
  <c r="AD71" i="143"/>
  <c r="AE71" i="143" s="1"/>
  <c r="AB72" i="143"/>
  <c r="P72" i="143"/>
  <c r="R72" i="143" s="1"/>
  <c r="O72" i="143"/>
  <c r="Q73" i="143" a="1"/>
  <c r="Q73" i="143" s="1"/>
  <c r="N73" i="143"/>
  <c r="K73" i="143" a="1"/>
  <c r="K73" i="143" s="1"/>
  <c r="AC73" i="143" s="1"/>
  <c r="F74" i="143"/>
  <c r="J74" i="143"/>
  <c r="G74" i="143"/>
  <c r="E74" i="143"/>
  <c r="I74" i="143"/>
  <c r="H74" i="143"/>
  <c r="D75" i="143"/>
  <c r="J31" i="290" l="1"/>
  <c r="J34" i="290"/>
  <c r="V74" i="143" a="1"/>
  <c r="V74" i="143" s="1"/>
  <c r="W74" i="143" a="1"/>
  <c r="W74" i="143" s="1"/>
  <c r="U74" i="143" a="1"/>
  <c r="U74" i="143" s="1"/>
  <c r="Z74" i="143" s="1"/>
  <c r="AD72" i="143"/>
  <c r="AE72" i="143" s="1"/>
  <c r="AB73" i="143"/>
  <c r="AA73" i="143"/>
  <c r="Q74" i="143" a="1"/>
  <c r="Q74" i="143" s="1"/>
  <c r="P73" i="143"/>
  <c r="R73" i="143" s="1"/>
  <c r="O73" i="143"/>
  <c r="N74" i="143"/>
  <c r="K74" i="143" a="1"/>
  <c r="K74" i="143" s="1"/>
  <c r="K21" i="290" s="1" a="1"/>
  <c r="K21" i="290" s="1"/>
  <c r="F75" i="143"/>
  <c r="J75" i="143"/>
  <c r="D76" i="143"/>
  <c r="E75" i="143"/>
  <c r="I75" i="143"/>
  <c r="H75" i="143"/>
  <c r="G75" i="143"/>
  <c r="K34" i="290" l="1"/>
  <c r="K31" i="290"/>
  <c r="W75" i="143" a="1"/>
  <c r="W75" i="143" s="1"/>
  <c r="U75" i="143" a="1"/>
  <c r="U75" i="143" s="1"/>
  <c r="Z75" i="143" s="1"/>
  <c r="V75" i="143" a="1"/>
  <c r="V75" i="143" s="1"/>
  <c r="AC74" i="143"/>
  <c r="AB74" i="143"/>
  <c r="AD73" i="143"/>
  <c r="AE73" i="143" s="1"/>
  <c r="AA74" i="143"/>
  <c r="Q75" i="143" a="1"/>
  <c r="Q75" i="143" s="1"/>
  <c r="P74" i="143"/>
  <c r="R74" i="143" s="1"/>
  <c r="O74" i="143"/>
  <c r="N75" i="143"/>
  <c r="K75" i="143" a="1"/>
  <c r="K75" i="143" s="1"/>
  <c r="AC75" i="143" s="1"/>
  <c r="F76" i="143"/>
  <c r="J76" i="143"/>
  <c r="D77" i="143"/>
  <c r="I76" i="143"/>
  <c r="E76" i="143"/>
  <c r="G76" i="143"/>
  <c r="H76" i="143"/>
  <c r="V76" i="143" l="1" a="1"/>
  <c r="V76" i="143" s="1"/>
  <c r="U76" i="143" a="1"/>
  <c r="U76" i="143" s="1"/>
  <c r="Z76" i="143" s="1"/>
  <c r="W76" i="143" a="1"/>
  <c r="W76" i="143" s="1"/>
  <c r="AB75" i="143"/>
  <c r="AD74" i="143"/>
  <c r="AE74" i="143" s="1"/>
  <c r="AA75" i="143"/>
  <c r="P75" i="143"/>
  <c r="R75" i="143" s="1"/>
  <c r="O75" i="143"/>
  <c r="Q76" i="143" a="1"/>
  <c r="Q76" i="143" s="1"/>
  <c r="N76" i="143"/>
  <c r="K76" i="143" a="1"/>
  <c r="K76" i="143" s="1"/>
  <c r="F77" i="143"/>
  <c r="J77" i="143"/>
  <c r="D78" i="143"/>
  <c r="G77" i="143"/>
  <c r="E77" i="143"/>
  <c r="I77" i="143"/>
  <c r="H77" i="143"/>
  <c r="N21" i="290" l="1" a="1"/>
  <c r="N21" i="290" s="1"/>
  <c r="W77" i="143" a="1"/>
  <c r="W77" i="143" s="1"/>
  <c r="U77" i="143" a="1"/>
  <c r="U77" i="143" s="1"/>
  <c r="Z77" i="143" s="1"/>
  <c r="V77" i="143" a="1"/>
  <c r="V77" i="143" s="1"/>
  <c r="AC76" i="143"/>
  <c r="AD75" i="143"/>
  <c r="AE75" i="143" s="1"/>
  <c r="AB76" i="143"/>
  <c r="Q77" i="143" a="1"/>
  <c r="Q77" i="143" s="1"/>
  <c r="AA76" i="143"/>
  <c r="P76" i="143"/>
  <c r="R76" i="143" s="1"/>
  <c r="O76" i="143"/>
  <c r="N77" i="143"/>
  <c r="K77" i="143" a="1"/>
  <c r="K77" i="143" s="1"/>
  <c r="F78" i="143"/>
  <c r="J78" i="143"/>
  <c r="I78" i="143"/>
  <c r="E78" i="143"/>
  <c r="H78" i="143"/>
  <c r="D79" i="143"/>
  <c r="G78" i="143"/>
  <c r="N34" i="290" l="1"/>
  <c r="N31" i="290"/>
  <c r="O21" i="290" a="1"/>
  <c r="O21" i="290" s="1"/>
  <c r="U78" i="143" a="1"/>
  <c r="U78" i="143" s="1"/>
  <c r="Z78" i="143" s="1"/>
  <c r="W78" i="143" a="1"/>
  <c r="W78" i="143" s="1"/>
  <c r="V78" i="143" a="1"/>
  <c r="V78" i="143" s="1"/>
  <c r="AC77" i="143"/>
  <c r="AD76" i="143"/>
  <c r="AE76" i="143" s="1"/>
  <c r="AB77" i="143"/>
  <c r="AA77" i="143"/>
  <c r="Q78" i="143" a="1"/>
  <c r="Q78" i="143" s="1"/>
  <c r="P77" i="143"/>
  <c r="R77" i="143" s="1"/>
  <c r="O77" i="143"/>
  <c r="N78" i="143"/>
  <c r="K78" i="143" a="1"/>
  <c r="K78" i="143" s="1"/>
  <c r="AC78" i="143" s="1"/>
  <c r="F79" i="143"/>
  <c r="J79" i="143"/>
  <c r="I79" i="143"/>
  <c r="H79" i="143"/>
  <c r="D80" i="143"/>
  <c r="E79" i="143"/>
  <c r="G79" i="143"/>
  <c r="O31" i="290" l="1"/>
  <c r="O34" i="290"/>
  <c r="U79" i="143" a="1"/>
  <c r="U79" i="143" s="1"/>
  <c r="Z79" i="143" s="1"/>
  <c r="W79" i="143" a="1"/>
  <c r="W79" i="143" s="1"/>
  <c r="V79" i="143" a="1"/>
  <c r="V79" i="143" s="1"/>
  <c r="AB78" i="143"/>
  <c r="AA78" i="143"/>
  <c r="AD77" i="143"/>
  <c r="AE77" i="143" s="1"/>
  <c r="Q79" i="143" a="1"/>
  <c r="Q79" i="143" s="1"/>
  <c r="P78" i="143"/>
  <c r="R78" i="143" s="1"/>
  <c r="O78" i="143"/>
  <c r="N79" i="143"/>
  <c r="K79" i="143" a="1"/>
  <c r="K79" i="143" s="1"/>
  <c r="P21" i="290" s="1" a="1"/>
  <c r="P21" i="290" s="1"/>
  <c r="F80" i="143"/>
  <c r="J80" i="143"/>
  <c r="D81" i="143"/>
  <c r="E80" i="143"/>
  <c r="I80" i="143"/>
  <c r="H80" i="143"/>
  <c r="G80" i="143"/>
  <c r="P31" i="290" l="1"/>
  <c r="P34" i="290"/>
  <c r="W80" i="143" a="1"/>
  <c r="W80" i="143" s="1"/>
  <c r="V80" i="143" a="1"/>
  <c r="V80" i="143" s="1"/>
  <c r="U80" i="143" a="1"/>
  <c r="U80" i="143" s="1"/>
  <c r="Z80" i="143" s="1"/>
  <c r="AC79" i="143"/>
  <c r="Q80" i="143" a="1"/>
  <c r="Q80" i="143" s="1"/>
  <c r="AA79" i="143"/>
  <c r="AB79" i="143"/>
  <c r="AD78" i="143"/>
  <c r="AE78" i="143" s="1"/>
  <c r="P79" i="143"/>
  <c r="R79" i="143" s="1"/>
  <c r="O79" i="143"/>
  <c r="N80" i="143"/>
  <c r="K80" i="143" a="1"/>
  <c r="K80" i="143" s="1"/>
  <c r="AC80" i="143" s="1"/>
  <c r="F81" i="143"/>
  <c r="J81" i="143"/>
  <c r="H81" i="143"/>
  <c r="D82" i="143"/>
  <c r="I81" i="143"/>
  <c r="G81" i="143"/>
  <c r="E81" i="143"/>
  <c r="Q21" i="290" l="1" a="1"/>
  <c r="Q21" i="290" s="1"/>
  <c r="Q31" i="290" s="1"/>
  <c r="W81" i="143" a="1"/>
  <c r="W81" i="143" s="1"/>
  <c r="V81" i="143" a="1"/>
  <c r="V81" i="143" s="1"/>
  <c r="U81" i="143" a="1"/>
  <c r="U81" i="143" s="1"/>
  <c r="Z81" i="143" s="1"/>
  <c r="R21" i="290" a="1"/>
  <c r="R21" i="290" s="1"/>
  <c r="AD79" i="143"/>
  <c r="AE79" i="143" s="1"/>
  <c r="AB80" i="143"/>
  <c r="AA80" i="143"/>
  <c r="Q81" i="143" a="1"/>
  <c r="Q81" i="143" s="1"/>
  <c r="P80" i="143"/>
  <c r="R80" i="143" s="1"/>
  <c r="O80" i="143"/>
  <c r="N81" i="143"/>
  <c r="K81" i="143" a="1"/>
  <c r="K81" i="143" s="1"/>
  <c r="AC81" i="143" s="1"/>
  <c r="F82" i="143"/>
  <c r="J82" i="143"/>
  <c r="H82" i="143"/>
  <c r="I82" i="143"/>
  <c r="D83" i="143"/>
  <c r="G82" i="143"/>
  <c r="E82" i="143"/>
  <c r="Q34" i="290" l="1"/>
  <c r="R31" i="290"/>
  <c r="R34" i="290"/>
  <c r="U82" i="143" a="1"/>
  <c r="U82" i="143" s="1"/>
  <c r="Z82" i="143" s="1"/>
  <c r="V82" i="143" a="1"/>
  <c r="V82" i="143" s="1"/>
  <c r="W82" i="143" a="1"/>
  <c r="W82" i="143" s="1"/>
  <c r="S21" i="290" a="1"/>
  <c r="S21" i="290" s="1"/>
  <c r="AB81" i="143"/>
  <c r="AD80" i="143"/>
  <c r="AE80" i="143" s="1"/>
  <c r="P81" i="143"/>
  <c r="R81" i="143" s="1"/>
  <c r="AA81" i="143" s="1"/>
  <c r="O81" i="143"/>
  <c r="Q82" i="143" a="1"/>
  <c r="Q82" i="143" s="1"/>
  <c r="N82" i="143"/>
  <c r="K82" i="143" a="1"/>
  <c r="K82" i="143" s="1"/>
  <c r="F83" i="143"/>
  <c r="J83" i="143"/>
  <c r="H83" i="143"/>
  <c r="D84" i="143"/>
  <c r="E83" i="143"/>
  <c r="G83" i="143"/>
  <c r="I83" i="143"/>
  <c r="S31" i="290" l="1"/>
  <c r="S34" i="290"/>
  <c r="W83" i="143" a="1"/>
  <c r="W83" i="143" s="1"/>
  <c r="V83" i="143" a="1"/>
  <c r="V83" i="143" s="1"/>
  <c r="U83" i="143" a="1"/>
  <c r="U83" i="143" s="1"/>
  <c r="Z83" i="143" s="1"/>
  <c r="AC82" i="143"/>
  <c r="AD81" i="143"/>
  <c r="AE81" i="143" s="1"/>
  <c r="AB82" i="143"/>
  <c r="Q83" i="143" a="1"/>
  <c r="Q83" i="143" s="1"/>
  <c r="P82" i="143"/>
  <c r="R82" i="143" s="1"/>
  <c r="AA82" i="143" s="1"/>
  <c r="O82" i="143"/>
  <c r="N83" i="143"/>
  <c r="K83" i="143" a="1"/>
  <c r="K83" i="143" s="1"/>
  <c r="F84" i="143"/>
  <c r="J84" i="143"/>
  <c r="G84" i="143"/>
  <c r="H84" i="143"/>
  <c r="I84" i="143"/>
  <c r="E84" i="143"/>
  <c r="D85" i="143"/>
  <c r="V84" i="143" l="1" a="1"/>
  <c r="V84" i="143" s="1"/>
  <c r="U84" i="143" a="1"/>
  <c r="U84" i="143" s="1"/>
  <c r="Z84" i="143" s="1"/>
  <c r="W84" i="143" a="1"/>
  <c r="W84" i="143" s="1"/>
  <c r="AC83" i="143"/>
  <c r="AB83" i="143"/>
  <c r="AD82" i="143"/>
  <c r="AE82" i="143" s="1"/>
  <c r="P83" i="143"/>
  <c r="R83" i="143" s="1"/>
  <c r="AA83" i="143" s="1"/>
  <c r="O83" i="143"/>
  <c r="Q84" i="143" a="1"/>
  <c r="Q84" i="143" s="1"/>
  <c r="N84" i="143"/>
  <c r="K84" i="143" a="1"/>
  <c r="K84" i="143" s="1"/>
  <c r="F85" i="143"/>
  <c r="J85" i="143"/>
  <c r="D86" i="143"/>
  <c r="G85" i="143"/>
  <c r="H85" i="143"/>
  <c r="I85" i="143"/>
  <c r="E85" i="143"/>
  <c r="V85" i="143" l="1" a="1"/>
  <c r="V85" i="143" s="1"/>
  <c r="U85" i="143" a="1"/>
  <c r="U85" i="143" s="1"/>
  <c r="Z85" i="143" s="1"/>
  <c r="W85" i="143" a="1"/>
  <c r="W85" i="143" s="1"/>
  <c r="V21" i="290" a="1"/>
  <c r="V21" i="290" s="1"/>
  <c r="AC84" i="143"/>
  <c r="AD83" i="143"/>
  <c r="AE83" i="143" s="1"/>
  <c r="AB84" i="143"/>
  <c r="Q85" i="143" a="1"/>
  <c r="Q85" i="143" s="1"/>
  <c r="P84" i="143"/>
  <c r="R84" i="143" s="1"/>
  <c r="AA84" i="143" s="1"/>
  <c r="O84" i="143"/>
  <c r="N85" i="143"/>
  <c r="K85" i="143" a="1"/>
  <c r="K85" i="143" s="1"/>
  <c r="F86" i="143"/>
  <c r="J86" i="143"/>
  <c r="G86" i="143"/>
  <c r="E86" i="143"/>
  <c r="I86" i="143"/>
  <c r="D87" i="143"/>
  <c r="H86" i="143"/>
  <c r="V34" i="290" l="1"/>
  <c r="V31" i="290"/>
  <c r="W21" i="290" a="1"/>
  <c r="W21" i="290" s="1"/>
  <c r="W86" i="143" a="1"/>
  <c r="W86" i="143" s="1"/>
  <c r="V86" i="143" a="1"/>
  <c r="V86" i="143" s="1"/>
  <c r="U86" i="143" a="1"/>
  <c r="U86" i="143" s="1"/>
  <c r="Z86" i="143" s="1"/>
  <c r="AC85" i="143"/>
  <c r="Q86" i="143" a="1"/>
  <c r="Q86" i="143" s="1"/>
  <c r="AD84" i="143"/>
  <c r="AE84" i="143" s="1"/>
  <c r="AB85" i="143"/>
  <c r="AA85" i="143"/>
  <c r="P85" i="143"/>
  <c r="R85" i="143" s="1"/>
  <c r="O85" i="143"/>
  <c r="N86" i="143"/>
  <c r="K86" i="143" a="1"/>
  <c r="K86" i="143" s="1"/>
  <c r="F87" i="143"/>
  <c r="J87" i="143"/>
  <c r="E87" i="143"/>
  <c r="G87" i="143"/>
  <c r="I87" i="143"/>
  <c r="H87" i="143"/>
  <c r="D88" i="143"/>
  <c r="W34" i="290" l="1"/>
  <c r="W31" i="290"/>
  <c r="W87" i="143" a="1"/>
  <c r="W87" i="143" s="1"/>
  <c r="V87" i="143" a="1"/>
  <c r="V87" i="143" s="1"/>
  <c r="U87" i="143" a="1"/>
  <c r="U87" i="143" s="1"/>
  <c r="Z87" i="143" s="1"/>
  <c r="AC86" i="143"/>
  <c r="AD85" i="143"/>
  <c r="AE85" i="143" s="1"/>
  <c r="AB86" i="143"/>
  <c r="Q87" i="143" a="1"/>
  <c r="Q87" i="143" s="1"/>
  <c r="AA86" i="143"/>
  <c r="P86" i="143"/>
  <c r="R86" i="143" s="1"/>
  <c r="O86" i="143"/>
  <c r="N87" i="143"/>
  <c r="K87" i="143" a="1"/>
  <c r="K87" i="143" s="1"/>
  <c r="F88" i="143"/>
  <c r="J88" i="143"/>
  <c r="D89" i="143"/>
  <c r="E88" i="143"/>
  <c r="G88" i="143"/>
  <c r="I88" i="143"/>
  <c r="H88" i="143"/>
  <c r="AC87" i="143" l="1"/>
  <c r="X21" i="290" a="1"/>
  <c r="X21" i="290" s="1"/>
  <c r="Y21" i="290" a="1"/>
  <c r="Y21" i="290" s="1"/>
  <c r="W88" i="143" a="1"/>
  <c r="W88" i="143" s="1"/>
  <c r="V88" i="143" a="1"/>
  <c r="V88" i="143" s="1"/>
  <c r="U88" i="143" a="1"/>
  <c r="U88" i="143" s="1"/>
  <c r="Z88" i="143" s="1"/>
  <c r="AB87" i="143"/>
  <c r="AD86" i="143"/>
  <c r="AE86" i="143" s="1"/>
  <c r="AA87" i="143"/>
  <c r="Q88" i="143" a="1"/>
  <c r="Q88" i="143" s="1"/>
  <c r="P87" i="143"/>
  <c r="R87" i="143" s="1"/>
  <c r="O87" i="143"/>
  <c r="N88" i="143"/>
  <c r="K88" i="143" a="1"/>
  <c r="K88" i="143" s="1"/>
  <c r="F89" i="143"/>
  <c r="J89" i="143"/>
  <c r="D90" i="143"/>
  <c r="H89" i="143"/>
  <c r="I89" i="143"/>
  <c r="G89" i="143"/>
  <c r="E89" i="143"/>
  <c r="X31" i="290" l="1"/>
  <c r="X34" i="290"/>
  <c r="Y31" i="290"/>
  <c r="Y34" i="290"/>
  <c r="U89" i="143" a="1"/>
  <c r="U89" i="143" s="1"/>
  <c r="Z89" i="143" s="1"/>
  <c r="V89" i="143" a="1"/>
  <c r="V89" i="143" s="1"/>
  <c r="W89" i="143" a="1"/>
  <c r="W89" i="143" s="1"/>
  <c r="AC88" i="143"/>
  <c r="AB88" i="143"/>
  <c r="AA88" i="143"/>
  <c r="AD87" i="143"/>
  <c r="AE87" i="143" s="1"/>
  <c r="Q89" i="143" a="1"/>
  <c r="Q89" i="143" s="1"/>
  <c r="P88" i="143"/>
  <c r="R88" i="143" s="1"/>
  <c r="O88" i="143"/>
  <c r="N89" i="143"/>
  <c r="K89" i="143" a="1"/>
  <c r="K89" i="143" s="1"/>
  <c r="Z21" i="290" s="1" a="1"/>
  <c r="Z21" i="290" s="1"/>
  <c r="F90" i="143"/>
  <c r="J90" i="143"/>
  <c r="D91" i="143"/>
  <c r="I90" i="143"/>
  <c r="E90" i="143"/>
  <c r="H90" i="143"/>
  <c r="G90" i="143"/>
  <c r="Z34" i="290" l="1"/>
  <c r="Z31" i="290"/>
  <c r="W90" i="143" a="1"/>
  <c r="W90" i="143" s="1"/>
  <c r="V90" i="143" a="1"/>
  <c r="V90" i="143" s="1"/>
  <c r="U90" i="143" a="1"/>
  <c r="U90" i="143" s="1"/>
  <c r="Z90" i="143" s="1"/>
  <c r="AC89" i="143"/>
  <c r="AB89" i="143"/>
  <c r="AD88" i="143"/>
  <c r="AE88" i="143" s="1"/>
  <c r="AA89" i="143"/>
  <c r="Q90" i="143" a="1"/>
  <c r="Q90" i="143" s="1"/>
  <c r="P89" i="143"/>
  <c r="R89" i="143" s="1"/>
  <c r="O89" i="143"/>
  <c r="N90" i="143"/>
  <c r="K90" i="143" a="1"/>
  <c r="K90" i="143" s="1"/>
  <c r="F91" i="143"/>
  <c r="J91" i="143"/>
  <c r="H91" i="143"/>
  <c r="E91" i="143"/>
  <c r="I91" i="143"/>
  <c r="D92" i="143"/>
  <c r="G91" i="143"/>
  <c r="W91" i="143" l="1" a="1"/>
  <c r="W91" i="143" s="1"/>
  <c r="U91" i="143" a="1"/>
  <c r="U91" i="143" s="1"/>
  <c r="Z91" i="143" s="1"/>
  <c r="V91" i="143" a="1"/>
  <c r="V91" i="143" s="1"/>
  <c r="AC90" i="143"/>
  <c r="Q91" i="143" a="1"/>
  <c r="Q91" i="143" s="1"/>
  <c r="AD89" i="143"/>
  <c r="AE89" i="143" s="1"/>
  <c r="AB90" i="143"/>
  <c r="AA90" i="143"/>
  <c r="P90" i="143"/>
  <c r="R90" i="143" s="1"/>
  <c r="O90" i="143"/>
  <c r="N91" i="143"/>
  <c r="K91" i="143" a="1"/>
  <c r="K91" i="143" s="1"/>
  <c r="AB21" i="290" s="1" a="1"/>
  <c r="AB21" i="290" s="1"/>
  <c r="F92" i="143"/>
  <c r="J92" i="143"/>
  <c r="I92" i="143"/>
  <c r="G92" i="143"/>
  <c r="H92" i="143"/>
  <c r="E92" i="143"/>
  <c r="D93" i="143"/>
  <c r="AB31" i="290" l="1"/>
  <c r="AB34" i="290"/>
  <c r="W92" i="143" a="1"/>
  <c r="W92" i="143" s="1"/>
  <c r="V92" i="143" a="1"/>
  <c r="V92" i="143" s="1"/>
  <c r="U92" i="143" a="1"/>
  <c r="U92" i="143" s="1"/>
  <c r="Z92" i="143" s="1"/>
  <c r="AC91" i="143"/>
  <c r="AB91" i="143"/>
  <c r="AD90" i="143"/>
  <c r="AE90" i="143" s="1"/>
  <c r="AA91" i="143"/>
  <c r="P91" i="143"/>
  <c r="R91" i="143" s="1"/>
  <c r="O91" i="143"/>
  <c r="Q92" i="143" a="1"/>
  <c r="Q92" i="143" s="1"/>
  <c r="N92" i="143"/>
  <c r="K92" i="143" a="1"/>
  <c r="K92" i="143" s="1"/>
  <c r="AC21" i="290" s="1" a="1"/>
  <c r="AC21" i="290" s="1"/>
  <c r="F93" i="143"/>
  <c r="J93" i="143"/>
  <c r="D94" i="143"/>
  <c r="G93" i="143"/>
  <c r="H93" i="143"/>
  <c r="E93" i="143"/>
  <c r="I93" i="143"/>
  <c r="AC34" i="290" l="1"/>
  <c r="AC31" i="290"/>
  <c r="V93" i="143" a="1"/>
  <c r="V93" i="143" s="1"/>
  <c r="U93" i="143" a="1"/>
  <c r="U93" i="143" s="1"/>
  <c r="Z93" i="143" s="1"/>
  <c r="W93" i="143" a="1"/>
  <c r="W93" i="143" s="1"/>
  <c r="AC92" i="143"/>
  <c r="AD91" i="143"/>
  <c r="AE91" i="143" s="1"/>
  <c r="AB92" i="143"/>
  <c r="Q93" i="143" a="1"/>
  <c r="Q93" i="143" s="1"/>
  <c r="AA92" i="143"/>
  <c r="P92" i="143"/>
  <c r="R92" i="143" s="1"/>
  <c r="O92" i="143"/>
  <c r="N93" i="143"/>
  <c r="K93" i="143" a="1"/>
  <c r="K93" i="143" s="1"/>
  <c r="AD21" i="290" s="1" a="1"/>
  <c r="AD21" i="290" s="1"/>
  <c r="F94" i="143"/>
  <c r="J94" i="143"/>
  <c r="I94" i="143"/>
  <c r="E94" i="143"/>
  <c r="D95" i="143"/>
  <c r="G94" i="143"/>
  <c r="H94" i="143"/>
  <c r="AD31" i="290" l="1"/>
  <c r="AD34" i="290"/>
  <c r="W94" i="143" a="1"/>
  <c r="W94" i="143" s="1"/>
  <c r="V94" i="143" a="1"/>
  <c r="V94" i="143" s="1"/>
  <c r="U94" i="143" a="1"/>
  <c r="U94" i="143" s="1"/>
  <c r="Z94" i="143" s="1"/>
  <c r="AC93" i="143"/>
  <c r="AD92" i="143"/>
  <c r="AE92" i="143" s="1"/>
  <c r="AA93" i="143"/>
  <c r="AB93" i="143"/>
  <c r="P93" i="143"/>
  <c r="R93" i="143" s="1"/>
  <c r="O93" i="143"/>
  <c r="Q94" i="143" a="1"/>
  <c r="Q94" i="143" s="1"/>
  <c r="N94" i="143"/>
  <c r="K94" i="143" a="1"/>
  <c r="K94" i="143" s="1"/>
  <c r="AE21" i="290" s="1" a="1"/>
  <c r="AE21" i="290" s="1"/>
  <c r="F95" i="143"/>
  <c r="J95" i="143"/>
  <c r="D96" i="143"/>
  <c r="I95" i="143"/>
  <c r="E95" i="143"/>
  <c r="G95" i="143"/>
  <c r="H95" i="143"/>
  <c r="AE31" i="290" l="1"/>
  <c r="AE34" i="290"/>
  <c r="W95" i="143" a="1"/>
  <c r="W95" i="143" s="1"/>
  <c r="V95" i="143" a="1"/>
  <c r="V95" i="143" s="1"/>
  <c r="U95" i="143" a="1"/>
  <c r="U95" i="143" s="1"/>
  <c r="Z95" i="143" s="1"/>
  <c r="AC94" i="143"/>
  <c r="AD93" i="143"/>
  <c r="AE93" i="143" s="1"/>
  <c r="AB94" i="143"/>
  <c r="AA94" i="143"/>
  <c r="P94" i="143"/>
  <c r="R94" i="143" s="1"/>
  <c r="O94" i="143"/>
  <c r="Q95" i="143" a="1"/>
  <c r="Q95" i="143" s="1"/>
  <c r="N95" i="143"/>
  <c r="K95" i="143" a="1"/>
  <c r="K95" i="143" s="1"/>
  <c r="AF21" i="290" s="1" a="1"/>
  <c r="AF21" i="290" s="1"/>
  <c r="F96" i="143"/>
  <c r="J96" i="143"/>
  <c r="G96" i="143"/>
  <c r="I96" i="143"/>
  <c r="D97" i="143"/>
  <c r="H96" i="143"/>
  <c r="E96" i="143"/>
  <c r="AF34" i="290" l="1"/>
  <c r="AF31" i="290"/>
  <c r="U96" i="143" a="1"/>
  <c r="U96" i="143" s="1"/>
  <c r="Z96" i="143" s="1"/>
  <c r="W96" i="143" a="1"/>
  <c r="W96" i="143" s="1"/>
  <c r="V96" i="143" a="1"/>
  <c r="V96" i="143" s="1"/>
  <c r="AG21" i="290" a="1"/>
  <c r="AG21" i="290" s="1"/>
  <c r="AC95" i="143"/>
  <c r="AB95" i="143"/>
  <c r="AD94" i="143"/>
  <c r="AE94" i="143" s="1"/>
  <c r="Q96" i="143" a="1"/>
  <c r="Q96" i="143" s="1"/>
  <c r="AA95" i="143"/>
  <c r="P95" i="143"/>
  <c r="R95" i="143" s="1"/>
  <c r="O95" i="143"/>
  <c r="N96" i="143"/>
  <c r="K96" i="143" a="1"/>
  <c r="K96" i="143" s="1"/>
  <c r="AC96" i="143" s="1"/>
  <c r="F97" i="143"/>
  <c r="J97" i="143"/>
  <c r="D98" i="143"/>
  <c r="G97" i="143"/>
  <c r="I97" i="143"/>
  <c r="E97" i="143"/>
  <c r="H97" i="143"/>
  <c r="AG31" i="290" l="1"/>
  <c r="AG34" i="290"/>
  <c r="W97" i="143" a="1"/>
  <c r="W97" i="143" s="1"/>
  <c r="V97" i="143" a="1"/>
  <c r="V97" i="143" s="1"/>
  <c r="U97" i="143" a="1"/>
  <c r="U97" i="143" s="1"/>
  <c r="Z97" i="143" s="1"/>
  <c r="AD95" i="143"/>
  <c r="AE95" i="143" s="1"/>
  <c r="AB96" i="143"/>
  <c r="AA96" i="143"/>
  <c r="P96" i="143"/>
  <c r="R96" i="143" s="1"/>
  <c r="O96" i="143"/>
  <c r="Q97" i="143" a="1"/>
  <c r="Q97" i="143" s="1"/>
  <c r="N97" i="143"/>
  <c r="K97" i="143" a="1"/>
  <c r="K97" i="143" s="1"/>
  <c r="AH21" i="290" s="1" a="1"/>
  <c r="AH21" i="290" s="1"/>
  <c r="F98" i="143"/>
  <c r="J98" i="143"/>
  <c r="D99" i="143"/>
  <c r="G98" i="143"/>
  <c r="H98" i="143"/>
  <c r="I98" i="143"/>
  <c r="E98" i="143"/>
  <c r="AH31" i="290" l="1"/>
  <c r="AH34" i="290"/>
  <c r="W98" i="143" a="1"/>
  <c r="W98" i="143" s="1"/>
  <c r="V98" i="143" a="1"/>
  <c r="V98" i="143" s="1"/>
  <c r="U98" i="143" a="1"/>
  <c r="U98" i="143" s="1"/>
  <c r="Z98" i="143" s="1"/>
  <c r="AC97" i="143"/>
  <c r="AD96" i="143"/>
  <c r="AE96" i="143" s="1"/>
  <c r="AB97" i="143"/>
  <c r="Q98" i="143" a="1"/>
  <c r="Q98" i="143" s="1"/>
  <c r="P97" i="143"/>
  <c r="R97" i="143" s="1"/>
  <c r="AA97" i="143" s="1"/>
  <c r="O97" i="143"/>
  <c r="N98" i="143"/>
  <c r="K98" i="143" a="1"/>
  <c r="K98" i="143" s="1"/>
  <c r="F99" i="143"/>
  <c r="J99" i="143"/>
  <c r="D100" i="143"/>
  <c r="G99" i="143"/>
  <c r="I99" i="143"/>
  <c r="H99" i="143"/>
  <c r="E99" i="143"/>
  <c r="U99" i="143" l="1" a="1"/>
  <c r="U99" i="143" s="1"/>
  <c r="Z99" i="143" s="1"/>
  <c r="W99" i="143" a="1"/>
  <c r="W99" i="143" s="1"/>
  <c r="V99" i="143" a="1"/>
  <c r="V99" i="143" s="1"/>
  <c r="AC98" i="143"/>
  <c r="AB98" i="143"/>
  <c r="AD97" i="143"/>
  <c r="AE97" i="143" s="1"/>
  <c r="Q99" i="143" a="1"/>
  <c r="Q99" i="143" s="1"/>
  <c r="P98" i="143"/>
  <c r="R98" i="143" s="1"/>
  <c r="AA98" i="143" s="1"/>
  <c r="O98" i="143"/>
  <c r="N99" i="143"/>
  <c r="K99" i="143" a="1"/>
  <c r="K99" i="143" s="1"/>
  <c r="F100" i="143"/>
  <c r="J100" i="143"/>
  <c r="G100" i="143"/>
  <c r="I100" i="143"/>
  <c r="E100" i="143"/>
  <c r="H100" i="143"/>
  <c r="D101" i="143"/>
  <c r="AC99" i="143" l="1"/>
  <c r="AJ21" i="290" a="1"/>
  <c r="AJ21" i="290" s="1"/>
  <c r="W100" i="143" a="1"/>
  <c r="W100" i="143" s="1"/>
  <c r="V100" i="143" a="1"/>
  <c r="V100" i="143" s="1"/>
  <c r="U100" i="143" a="1"/>
  <c r="U100" i="143" s="1"/>
  <c r="Z100" i="143" s="1"/>
  <c r="AD98" i="143"/>
  <c r="AE98" i="143" s="1"/>
  <c r="AB99" i="143"/>
  <c r="AA99" i="143"/>
  <c r="P99" i="143"/>
  <c r="R99" i="143" s="1"/>
  <c r="O99" i="143"/>
  <c r="Q100" i="143" a="1"/>
  <c r="Q100" i="143" s="1"/>
  <c r="N100" i="143"/>
  <c r="K100" i="143" a="1"/>
  <c r="K100" i="143" s="1"/>
  <c r="F21" i="289" s="1" a="1"/>
  <c r="F21" i="289" s="1"/>
  <c r="F101" i="143"/>
  <c r="J101" i="143"/>
  <c r="G101" i="143"/>
  <c r="I101" i="143"/>
  <c r="E101" i="143"/>
  <c r="H101" i="143"/>
  <c r="D102" i="143"/>
  <c r="AJ34" i="290" l="1"/>
  <c r="AJ31" i="290"/>
  <c r="F31" i="289"/>
  <c r="F34" i="289"/>
  <c r="V101" i="143" a="1"/>
  <c r="V101" i="143" s="1"/>
  <c r="U101" i="143" a="1"/>
  <c r="U101" i="143" s="1"/>
  <c r="Z101" i="143" s="1"/>
  <c r="W101" i="143" a="1"/>
  <c r="W101" i="143" s="1"/>
  <c r="AC100" i="143"/>
  <c r="AB100" i="143"/>
  <c r="AD99" i="143"/>
  <c r="AE99" i="143" s="1"/>
  <c r="Q101" i="143" a="1"/>
  <c r="Q101" i="143" s="1"/>
  <c r="P100" i="143"/>
  <c r="R100" i="143" s="1"/>
  <c r="AA100" i="143" s="1"/>
  <c r="O100" i="143"/>
  <c r="N101" i="143"/>
  <c r="K101" i="143" a="1"/>
  <c r="K101" i="143" s="1"/>
  <c r="G21" i="289" s="1" a="1"/>
  <c r="G21" i="289" s="1"/>
  <c r="F102" i="143"/>
  <c r="J102" i="143"/>
  <c r="I102" i="143"/>
  <c r="H102" i="143"/>
  <c r="D103" i="143"/>
  <c r="G102" i="143"/>
  <c r="E102" i="143"/>
  <c r="G31" i="289" l="1"/>
  <c r="G34" i="289"/>
  <c r="W102" i="143" a="1"/>
  <c r="W102" i="143" s="1"/>
  <c r="V102" i="143" a="1"/>
  <c r="V102" i="143" s="1"/>
  <c r="U102" i="143" a="1"/>
  <c r="U102" i="143" s="1"/>
  <c r="Z102" i="143" s="1"/>
  <c r="AC101" i="143"/>
  <c r="AD100" i="143"/>
  <c r="AE100" i="143" s="1"/>
  <c r="AB101" i="143"/>
  <c r="P101" i="143"/>
  <c r="R101" i="143" s="1"/>
  <c r="AA101" i="143" s="1"/>
  <c r="O101" i="143"/>
  <c r="Q102" i="143" a="1"/>
  <c r="Q102" i="143" s="1"/>
  <c r="N102" i="143"/>
  <c r="K102" i="143" a="1"/>
  <c r="K102" i="143" s="1"/>
  <c r="H21" i="289" s="1" a="1"/>
  <c r="H21" i="289" s="1"/>
  <c r="F103" i="143"/>
  <c r="J103" i="143"/>
  <c r="G103" i="143"/>
  <c r="E103" i="143"/>
  <c r="H103" i="143"/>
  <c r="I103" i="143"/>
  <c r="D104" i="143"/>
  <c r="H34" i="289" l="1"/>
  <c r="H31" i="289"/>
  <c r="I21" i="289" a="1"/>
  <c r="I21" i="289" s="1"/>
  <c r="W103" i="143" a="1"/>
  <c r="W103" i="143" s="1"/>
  <c r="V103" i="143" a="1"/>
  <c r="V103" i="143" s="1"/>
  <c r="U103" i="143" a="1"/>
  <c r="U103" i="143" s="1"/>
  <c r="Z103" i="143" s="1"/>
  <c r="AC102" i="143"/>
  <c r="Q103" i="143" a="1"/>
  <c r="Q103" i="143" s="1"/>
  <c r="AD101" i="143"/>
  <c r="AE101" i="143" s="1"/>
  <c r="AB102" i="143"/>
  <c r="P102" i="143"/>
  <c r="R102" i="143" s="1"/>
  <c r="AA102" i="143" s="1"/>
  <c r="O102" i="143"/>
  <c r="N103" i="143"/>
  <c r="K103" i="143" a="1"/>
  <c r="K103" i="143" s="1"/>
  <c r="F104" i="143"/>
  <c r="J104" i="143"/>
  <c r="H104" i="143"/>
  <c r="D105" i="143"/>
  <c r="E104" i="143"/>
  <c r="G104" i="143"/>
  <c r="I104" i="143"/>
  <c r="I34" i="289" l="1"/>
  <c r="I31" i="289"/>
  <c r="V104" i="143" a="1"/>
  <c r="V104" i="143" s="1"/>
  <c r="U104" i="143" a="1"/>
  <c r="U104" i="143" s="1"/>
  <c r="Z104" i="143" s="1"/>
  <c r="W104" i="143" a="1"/>
  <c r="W104" i="143" s="1"/>
  <c r="AC103" i="143"/>
  <c r="AB103" i="143"/>
  <c r="AD102" i="143"/>
  <c r="AE102" i="143" s="1"/>
  <c r="Q104" i="143" a="1"/>
  <c r="Q104" i="143" s="1"/>
  <c r="AA103" i="143"/>
  <c r="P103" i="143"/>
  <c r="R103" i="143" s="1"/>
  <c r="O103" i="143"/>
  <c r="N104" i="143"/>
  <c r="K104" i="143" a="1"/>
  <c r="K104" i="143" s="1"/>
  <c r="J21" i="289" s="1" a="1"/>
  <c r="J21" i="289" s="1"/>
  <c r="F105" i="143"/>
  <c r="J105" i="143"/>
  <c r="G105" i="143"/>
  <c r="I105" i="143"/>
  <c r="E105" i="143"/>
  <c r="H105" i="143"/>
  <c r="D106" i="143"/>
  <c r="J34" i="289" l="1"/>
  <c r="J31" i="289"/>
  <c r="W105" i="143" a="1"/>
  <c r="W105" i="143" s="1"/>
  <c r="V105" i="143" a="1"/>
  <c r="V105" i="143" s="1"/>
  <c r="U105" i="143" a="1"/>
  <c r="U105" i="143" s="1"/>
  <c r="Z105" i="143" s="1"/>
  <c r="AC104" i="143"/>
  <c r="AD103" i="143"/>
  <c r="AE103" i="143" s="1"/>
  <c r="AB104" i="143"/>
  <c r="AA104" i="143"/>
  <c r="P104" i="143"/>
  <c r="R104" i="143" s="1"/>
  <c r="O104" i="143"/>
  <c r="Q105" i="143" a="1"/>
  <c r="Q105" i="143" s="1"/>
  <c r="N105" i="143"/>
  <c r="K105" i="143" a="1"/>
  <c r="K105" i="143" s="1"/>
  <c r="K21" i="289" s="1" a="1"/>
  <c r="K21" i="289" s="1"/>
  <c r="F106" i="143"/>
  <c r="J106" i="143"/>
  <c r="E106" i="143"/>
  <c r="G106" i="143"/>
  <c r="I106" i="143"/>
  <c r="H106" i="143"/>
  <c r="D107" i="143"/>
  <c r="K34" i="289" l="1"/>
  <c r="K31" i="289"/>
  <c r="W106" i="143" a="1"/>
  <c r="W106" i="143" s="1"/>
  <c r="V106" i="143" a="1"/>
  <c r="V106" i="143" s="1"/>
  <c r="U106" i="143" a="1"/>
  <c r="U106" i="143" s="1"/>
  <c r="Z106" i="143" s="1"/>
  <c r="AC105" i="143"/>
  <c r="AB105" i="143"/>
  <c r="AD104" i="143"/>
  <c r="AE104" i="143" s="1"/>
  <c r="Q106" i="143" a="1"/>
  <c r="Q106" i="143" s="1"/>
  <c r="P105" i="143"/>
  <c r="R105" i="143" s="1"/>
  <c r="AA105" i="143" s="1"/>
  <c r="O105" i="143"/>
  <c r="N106" i="143"/>
  <c r="K106" i="143" a="1"/>
  <c r="K106" i="143" s="1"/>
  <c r="L21" i="289" s="1" a="1"/>
  <c r="L21" i="289" s="1"/>
  <c r="F107" i="143"/>
  <c r="J107" i="143"/>
  <c r="D108" i="143"/>
  <c r="H107" i="143"/>
  <c r="E107" i="143"/>
  <c r="I107" i="143"/>
  <c r="G107" i="143"/>
  <c r="L31" i="289" l="1"/>
  <c r="L34" i="289"/>
  <c r="V107" i="143" a="1"/>
  <c r="V107" i="143" s="1"/>
  <c r="U107" i="143" a="1"/>
  <c r="U107" i="143" s="1"/>
  <c r="Z107" i="143" s="1"/>
  <c r="W107" i="143" a="1"/>
  <c r="W107" i="143" s="1"/>
  <c r="AC106" i="143"/>
  <c r="AD105" i="143"/>
  <c r="AE105" i="143" s="1"/>
  <c r="AB106" i="143"/>
  <c r="Q107" i="143" a="1"/>
  <c r="Q107" i="143" s="1"/>
  <c r="AA106" i="143"/>
  <c r="P106" i="143"/>
  <c r="R106" i="143" s="1"/>
  <c r="O106" i="143"/>
  <c r="N107" i="143"/>
  <c r="K107" i="143" a="1"/>
  <c r="K107" i="143" s="1"/>
  <c r="F108" i="143"/>
  <c r="J108" i="143"/>
  <c r="H108" i="143"/>
  <c r="G108" i="143"/>
  <c r="D109" i="143"/>
  <c r="I108" i="143"/>
  <c r="E108" i="143"/>
  <c r="V108" i="143" l="1" a="1"/>
  <c r="V108" i="143" s="1"/>
  <c r="U108" i="143" a="1"/>
  <c r="U108" i="143" s="1"/>
  <c r="Z108" i="143" s="1"/>
  <c r="W108" i="143" a="1"/>
  <c r="W108" i="143" s="1"/>
  <c r="AC107" i="143"/>
  <c r="AA107" i="143"/>
  <c r="AD106" i="143"/>
  <c r="AE106" i="143" s="1"/>
  <c r="AB107" i="143"/>
  <c r="P107" i="143"/>
  <c r="R107" i="143" s="1"/>
  <c r="O107" i="143"/>
  <c r="Q108" i="143" a="1"/>
  <c r="Q108" i="143" s="1"/>
  <c r="N108" i="143"/>
  <c r="K108" i="143" a="1"/>
  <c r="K108" i="143" s="1"/>
  <c r="N21" i="289" s="1" a="1"/>
  <c r="N21" i="289" s="1"/>
  <c r="F109" i="143"/>
  <c r="J109" i="143"/>
  <c r="I109" i="143"/>
  <c r="H109" i="143"/>
  <c r="D110" i="143"/>
  <c r="E109" i="143"/>
  <c r="G109" i="143"/>
  <c r="N31" i="289" l="1"/>
  <c r="N34" i="289"/>
  <c r="W109" i="143" a="1"/>
  <c r="W109" i="143" s="1"/>
  <c r="V109" i="143" a="1"/>
  <c r="V109" i="143" s="1"/>
  <c r="U109" i="143" a="1"/>
  <c r="U109" i="143" s="1"/>
  <c r="Z109" i="143" s="1"/>
  <c r="AC108" i="143"/>
  <c r="AD107" i="143"/>
  <c r="AE107" i="143" s="1"/>
  <c r="AB108" i="143"/>
  <c r="AA108" i="143"/>
  <c r="P108" i="143"/>
  <c r="R108" i="143" s="1"/>
  <c r="O108" i="143"/>
  <c r="Q109" i="143" a="1"/>
  <c r="Q109" i="143" s="1"/>
  <c r="N109" i="143"/>
  <c r="K109" i="143" a="1"/>
  <c r="K109" i="143" s="1"/>
  <c r="O21" i="289" s="1" a="1"/>
  <c r="O21" i="289" s="1"/>
  <c r="F110" i="143"/>
  <c r="J110" i="143"/>
  <c r="D111" i="143"/>
  <c r="G110" i="143"/>
  <c r="E110" i="143"/>
  <c r="H110" i="143"/>
  <c r="I110" i="143"/>
  <c r="O31" i="289" l="1"/>
  <c r="O34" i="289"/>
  <c r="W110" i="143" a="1"/>
  <c r="W110" i="143" s="1"/>
  <c r="V110" i="143" a="1"/>
  <c r="V110" i="143" s="1"/>
  <c r="U110" i="143" a="1"/>
  <c r="U110" i="143" s="1"/>
  <c r="Z110" i="143" s="1"/>
  <c r="AC109" i="143"/>
  <c r="AB109" i="143"/>
  <c r="AD108" i="143"/>
  <c r="AE108" i="143" s="1"/>
  <c r="AA109" i="143"/>
  <c r="Q110" i="143" a="1"/>
  <c r="Q110" i="143" s="1"/>
  <c r="P109" i="143"/>
  <c r="R109" i="143" s="1"/>
  <c r="O109" i="143"/>
  <c r="N110" i="143"/>
  <c r="K110" i="143" a="1"/>
  <c r="K110" i="143" s="1"/>
  <c r="P21" i="289" s="1" a="1"/>
  <c r="P21" i="289" s="1"/>
  <c r="F111" i="143"/>
  <c r="J111" i="143"/>
  <c r="D112" i="143"/>
  <c r="I111" i="143"/>
  <c r="E111" i="143"/>
  <c r="H111" i="143"/>
  <c r="G111" i="143"/>
  <c r="P31" i="289" l="1"/>
  <c r="P34" i="289"/>
  <c r="W111" i="143" a="1"/>
  <c r="W111" i="143" s="1"/>
  <c r="V111" i="143" a="1"/>
  <c r="V111" i="143" s="1"/>
  <c r="U111" i="143" a="1"/>
  <c r="U111" i="143" s="1"/>
  <c r="Z111" i="143" s="1"/>
  <c r="AC110" i="143"/>
  <c r="AB110" i="143"/>
  <c r="AD109" i="143"/>
  <c r="AE109" i="143" s="1"/>
  <c r="AA110" i="143"/>
  <c r="Q111" i="143" a="1"/>
  <c r="Q111" i="143" s="1"/>
  <c r="P110" i="143"/>
  <c r="R110" i="143" s="1"/>
  <c r="O110" i="143"/>
  <c r="N111" i="143"/>
  <c r="K111" i="143" a="1"/>
  <c r="K111" i="143" s="1"/>
  <c r="Q21" i="289" s="1" a="1"/>
  <c r="Q21" i="289" s="1"/>
  <c r="F112" i="143"/>
  <c r="J112" i="143"/>
  <c r="E112" i="143"/>
  <c r="D113" i="143"/>
  <c r="H112" i="143"/>
  <c r="I112" i="143"/>
  <c r="G112" i="143"/>
  <c r="Q31" i="289" l="1"/>
  <c r="Q34" i="289"/>
  <c r="R21" i="289" a="1"/>
  <c r="R21" i="289" s="1"/>
  <c r="W112" i="143" a="1"/>
  <c r="W112" i="143" s="1"/>
  <c r="V112" i="143" a="1"/>
  <c r="V112" i="143" s="1"/>
  <c r="U112" i="143" a="1"/>
  <c r="U112" i="143" s="1"/>
  <c r="Z112" i="143" s="1"/>
  <c r="AC111" i="143"/>
  <c r="AB111" i="143"/>
  <c r="AA111" i="143"/>
  <c r="AD110" i="143"/>
  <c r="AE110" i="143" s="1"/>
  <c r="Q112" i="143" a="1"/>
  <c r="Q112" i="143" s="1"/>
  <c r="P111" i="143"/>
  <c r="R111" i="143" s="1"/>
  <c r="O111" i="143"/>
  <c r="N112" i="143"/>
  <c r="K112" i="143" a="1"/>
  <c r="K112" i="143" s="1"/>
  <c r="F113" i="143"/>
  <c r="J113" i="143"/>
  <c r="G113" i="143"/>
  <c r="I113" i="143"/>
  <c r="E113" i="143"/>
  <c r="H113" i="143"/>
  <c r="D114" i="143"/>
  <c r="R34" i="289" l="1"/>
  <c r="R31" i="289"/>
  <c r="W113" i="143" a="1"/>
  <c r="W113" i="143" s="1"/>
  <c r="V113" i="143" a="1"/>
  <c r="V113" i="143" s="1"/>
  <c r="U113" i="143" a="1"/>
  <c r="U113" i="143" s="1"/>
  <c r="Z113" i="143" s="1"/>
  <c r="AC112" i="143"/>
  <c r="F114" i="143"/>
  <c r="E114" i="143"/>
  <c r="J114" i="143"/>
  <c r="G114" i="143"/>
  <c r="D115" i="143"/>
  <c r="H114" i="143"/>
  <c r="I114" i="143"/>
  <c r="AB112" i="143"/>
  <c r="AD111" i="143"/>
  <c r="AE111" i="143" s="1"/>
  <c r="AA112" i="143"/>
  <c r="Q113" i="143" a="1"/>
  <c r="Q113" i="143" s="1"/>
  <c r="P112" i="143"/>
  <c r="R112" i="143" s="1"/>
  <c r="O112" i="143"/>
  <c r="N113" i="143"/>
  <c r="K113" i="143" a="1"/>
  <c r="K113" i="143" s="1"/>
  <c r="S21" i="289" s="1" a="1"/>
  <c r="S21" i="289" s="1"/>
  <c r="W114" i="143" l="1" a="1"/>
  <c r="W114" i="143" s="1"/>
  <c r="V114" i="143" a="1"/>
  <c r="V114" i="143" s="1"/>
  <c r="U114" i="143" a="1"/>
  <c r="U114" i="143" s="1"/>
  <c r="Z114" i="143" s="1"/>
  <c r="S34" i="289"/>
  <c r="S31" i="289"/>
  <c r="AC113" i="143"/>
  <c r="AB113" i="143"/>
  <c r="AD112" i="143"/>
  <c r="AE112" i="143" s="1"/>
  <c r="K114" i="143" a="1"/>
  <c r="K114" i="143" s="1"/>
  <c r="T21" i="289" s="1" a="1"/>
  <c r="T21" i="289" s="1"/>
  <c r="N114" i="143"/>
  <c r="Q114" i="143" a="1"/>
  <c r="Q114" i="143" s="1"/>
  <c r="AA113" i="143"/>
  <c r="P113" i="143"/>
  <c r="R113" i="143" s="1"/>
  <c r="O113" i="143"/>
  <c r="T34" i="289" l="1"/>
  <c r="T31" i="289"/>
  <c r="AC114" i="143"/>
  <c r="AA114" i="143"/>
  <c r="AB114" i="143"/>
  <c r="O114" i="143"/>
  <c r="P114" i="143"/>
  <c r="R114" i="143" s="1"/>
  <c r="AD113" i="143"/>
  <c r="AE113" i="143" s="1"/>
  <c r="AD114" i="143" l="1"/>
  <c r="AE114" i="143" s="1"/>
  <c r="F21" i="135" a="1"/>
  <c r="F21" i="135" s="1"/>
  <c r="F34" i="135" s="1"/>
  <c r="F31" i="135" l="1"/>
  <c r="J21" i="135" l="1" a="1"/>
  <c r="J21" i="135" s="1"/>
  <c r="J34" i="135" s="1"/>
  <c r="V21" i="135" a="1"/>
  <c r="V21" i="135" s="1"/>
  <c r="V34" i="135" s="1"/>
  <c r="V31" i="135" l="1"/>
  <c r="J31" i="135"/>
  <c r="L21" i="135" a="1"/>
  <c r="L21" i="135" s="1"/>
  <c r="L34" i="135" s="1"/>
  <c r="K21" i="135" a="1"/>
  <c r="K21" i="135" s="1"/>
  <c r="K34" i="135" s="1"/>
  <c r="P21" i="135" a="1"/>
  <c r="P21" i="135" s="1"/>
  <c r="P34" i="135" s="1"/>
  <c r="G21" i="135" a="1"/>
  <c r="G21" i="135" s="1"/>
  <c r="G34" i="135" s="1"/>
  <c r="W21" i="135" a="1"/>
  <c r="W21" i="135" s="1"/>
  <c r="W34" i="135" s="1"/>
  <c r="S21" i="135" a="1"/>
  <c r="S21" i="135" s="1"/>
  <c r="S34" i="135" s="1"/>
  <c r="X21" i="135" a="1"/>
  <c r="X21" i="135" s="1"/>
  <c r="X34" i="135" s="1"/>
  <c r="T21" i="135" a="1"/>
  <c r="T21" i="135" s="1"/>
  <c r="T34" i="135" s="1"/>
  <c r="AA21" i="135" a="1"/>
  <c r="AA21" i="135" s="1"/>
  <c r="AA34" i="135" s="1"/>
  <c r="Y21" i="135" a="1"/>
  <c r="Y21" i="135" s="1"/>
  <c r="Y34" i="135" s="1"/>
  <c r="AF21" i="135" a="1"/>
  <c r="AF21" i="135" s="1"/>
  <c r="AF34" i="135" s="1"/>
  <c r="H21" i="135" a="1"/>
  <c r="H21" i="135" s="1"/>
  <c r="H34" i="135" s="1"/>
  <c r="AG21" i="135" a="1"/>
  <c r="AG21" i="135" s="1"/>
  <c r="AG34" i="135" s="1"/>
  <c r="U21" i="135" a="1"/>
  <c r="U21" i="135" s="1"/>
  <c r="U34" i="135" s="1"/>
  <c r="O21" i="135" a="1"/>
  <c r="O21" i="135" s="1"/>
  <c r="O34" i="135" s="1"/>
  <c r="R21" i="135" a="1"/>
  <c r="R21" i="135" s="1"/>
  <c r="R34" i="135" s="1"/>
  <c r="Q21" i="135" a="1"/>
  <c r="Q21" i="135" s="1"/>
  <c r="Q34" i="135" s="1"/>
  <c r="M21" i="135" a="1"/>
  <c r="M21" i="135" s="1"/>
  <c r="M34" i="135" s="1"/>
  <c r="AE21" i="135" a="1"/>
  <c r="AE21" i="135" s="1"/>
  <c r="AE34" i="135" s="1"/>
  <c r="N21" i="135" a="1"/>
  <c r="N21" i="135" s="1"/>
  <c r="N34" i="135" s="1"/>
  <c r="I21" i="135" a="1"/>
  <c r="I21" i="135" s="1"/>
  <c r="I34" i="135" s="1"/>
  <c r="Z21" i="135" a="1"/>
  <c r="Z21" i="135" s="1"/>
  <c r="Z34" i="135" s="1"/>
  <c r="AB21" i="135" a="1"/>
  <c r="AB21" i="135" s="1"/>
  <c r="AB34" i="135" s="1"/>
  <c r="AD21" i="135" a="1"/>
  <c r="AD21" i="135" s="1"/>
  <c r="AD34" i="135" s="1"/>
  <c r="AC21" i="135" a="1"/>
  <c r="AC21" i="135" s="1"/>
  <c r="AC34" i="135" s="1"/>
  <c r="H31" i="135" l="1"/>
  <c r="AC31" i="135"/>
  <c r="AB31" i="135"/>
  <c r="I31" i="135"/>
  <c r="AE31" i="135"/>
  <c r="M31" i="135"/>
  <c r="G31" i="135"/>
  <c r="AD31" i="135"/>
  <c r="T31" i="135"/>
  <c r="S31" i="135"/>
  <c r="Q31" i="135"/>
  <c r="P31" i="135"/>
  <c r="U31" i="135"/>
  <c r="AF31" i="135"/>
  <c r="Y31" i="135"/>
  <c r="Z31" i="135"/>
  <c r="N31" i="135"/>
  <c r="W31" i="135"/>
  <c r="R31" i="135"/>
  <c r="K31" i="135"/>
  <c r="AG31" i="135"/>
  <c r="AA31" i="135"/>
  <c r="X31" i="135"/>
  <c r="O31" i="135"/>
  <c r="L31" i="135"/>
  <c r="L16" i="141"/>
  <c r="T16" i="141"/>
  <c r="AQ16" i="141"/>
  <c r="P16" i="141"/>
  <c r="AZ16" i="141"/>
  <c r="AN16" i="141"/>
  <c r="BC16" i="141"/>
  <c r="AV16" i="141"/>
  <c r="BE16" i="141"/>
  <c r="R16" i="141"/>
  <c r="Z16" i="141"/>
  <c r="AB16" i="141"/>
  <c r="AX16" i="141"/>
  <c r="M16" i="141"/>
  <c r="BB16" i="141"/>
  <c r="AJ16" i="141"/>
  <c r="AT16" i="141"/>
  <c r="AY16" i="141"/>
  <c r="AI16" i="141" l="1"/>
  <c r="AE16" i="141"/>
  <c r="BD16" i="141"/>
  <c r="AW16" i="141"/>
  <c r="V16" i="141"/>
  <c r="BA16" i="141"/>
  <c r="S16" i="141"/>
  <c r="AK16" i="141"/>
  <c r="I16" i="141"/>
  <c r="BF16" i="141"/>
  <c r="J16" i="141"/>
  <c r="N16" i="141"/>
  <c r="X16" i="141"/>
  <c r="AS16" i="141"/>
  <c r="AO16" i="141"/>
  <c r="Y16" i="141"/>
  <c r="AA16" i="141"/>
  <c r="AD16" i="141"/>
  <c r="AL16" i="141"/>
  <c r="AU16" i="141"/>
  <c r="AH16" i="141"/>
  <c r="AG16" i="141"/>
  <c r="H16" i="141"/>
  <c r="U16" i="141"/>
  <c r="K16" i="141"/>
  <c r="AP16" i="141"/>
  <c r="AR16" i="141"/>
  <c r="AF16" i="141"/>
  <c r="O16" i="141"/>
  <c r="W16" i="141"/>
  <c r="Q16" i="141"/>
  <c r="AM16" i="141"/>
  <c r="AC16" i="141"/>
  <c r="F396" i="28" l="1"/>
  <c r="F395" i="28"/>
  <c r="F392" i="28"/>
  <c r="F399" i="28"/>
  <c r="F387" i="28"/>
  <c r="F382" i="28"/>
  <c r="F379" i="28"/>
  <c r="F372" i="28"/>
  <c r="F325" i="28"/>
  <c r="D259" i="28"/>
  <c r="D258" i="28"/>
  <c r="D257" i="28"/>
  <c r="F241" i="28"/>
  <c r="F240" i="28"/>
  <c r="D240" i="28"/>
  <c r="D25" i="28"/>
  <c r="BI15" i="141" l="1"/>
  <c r="G16" i="141"/>
  <c r="BI14" i="141"/>
  <c r="F16" i="141"/>
  <c r="BG16" i="141"/>
  <c r="BH16" i="141"/>
  <c r="BI17" i="141"/>
  <c r="BI16" i="141" l="1"/>
  <c r="I115" i="143" l="1"/>
  <c r="N115" i="143" s="1"/>
  <c r="G115" i="143"/>
  <c r="F115" i="143"/>
  <c r="E115" i="143"/>
  <c r="J115" i="143"/>
  <c r="H115" i="143"/>
  <c r="D116" i="143"/>
  <c r="I116" i="143" s="1"/>
  <c r="U21" i="289" l="1" a="1"/>
  <c r="U21" i="289" s="1"/>
  <c r="V115" i="143" a="1"/>
  <c r="V115" i="143" s="1"/>
  <c r="U115" i="143" a="1"/>
  <c r="U115" i="143" s="1"/>
  <c r="Z115" i="143" s="1"/>
  <c r="W115" i="143" a="1"/>
  <c r="W115" i="143" s="1"/>
  <c r="D117" i="143"/>
  <c r="H117" i="143" s="1"/>
  <c r="O115" i="143"/>
  <c r="P115" i="143"/>
  <c r="N116" i="143"/>
  <c r="E116" i="143"/>
  <c r="G116" i="143"/>
  <c r="J116" i="143"/>
  <c r="H116" i="143"/>
  <c r="F116" i="143"/>
  <c r="K115" i="143" a="1"/>
  <c r="K115" i="143" s="1"/>
  <c r="Q115" i="143" a="1"/>
  <c r="Q115" i="143" s="1"/>
  <c r="U34" i="289" l="1"/>
  <c r="U31" i="289"/>
  <c r="W117" i="143" a="1"/>
  <c r="W117" i="143" s="1"/>
  <c r="V117" i="143" a="1"/>
  <c r="V117" i="143" s="1"/>
  <c r="U117" i="143" a="1"/>
  <c r="U117" i="143" s="1"/>
  <c r="Z117" i="143" s="1"/>
  <c r="W116" i="143" a="1"/>
  <c r="W116" i="143" s="1"/>
  <c r="V116" i="143" a="1"/>
  <c r="V116" i="143" s="1"/>
  <c r="U116" i="143" a="1"/>
  <c r="U116" i="143" s="1"/>
  <c r="Z116" i="143" s="1"/>
  <c r="R115" i="143"/>
  <c r="AC115" i="143"/>
  <c r="D118" i="143"/>
  <c r="I118" i="143" s="1"/>
  <c r="AB115" i="143"/>
  <c r="J117" i="143"/>
  <c r="G117" i="143"/>
  <c r="F117" i="143"/>
  <c r="I117" i="143"/>
  <c r="E117" i="143"/>
  <c r="AA115" i="143"/>
  <c r="K116" i="143" a="1"/>
  <c r="K116" i="143" s="1"/>
  <c r="V21" i="289" s="1" a="1"/>
  <c r="V21" i="289" s="1"/>
  <c r="Q116" i="143" a="1"/>
  <c r="Q116" i="143" s="1"/>
  <c r="O116" i="143"/>
  <c r="P116" i="143"/>
  <c r="V31" i="289" l="1"/>
  <c r="V34" i="289"/>
  <c r="AC116" i="143"/>
  <c r="F118" i="143"/>
  <c r="H118" i="143"/>
  <c r="E118" i="143"/>
  <c r="D119" i="143"/>
  <c r="G118" i="143"/>
  <c r="J118" i="143"/>
  <c r="K117" i="143" a="1"/>
  <c r="K117" i="143" s="1"/>
  <c r="N117" i="143"/>
  <c r="O117" i="143" s="1"/>
  <c r="Q117" i="143" a="1"/>
  <c r="Q117" i="143" s="1"/>
  <c r="AD115" i="143"/>
  <c r="AE115" i="143" s="1"/>
  <c r="N118" i="143"/>
  <c r="P118" i="143" s="1"/>
  <c r="AA116" i="143"/>
  <c r="AB116" i="143"/>
  <c r="R116" i="143"/>
  <c r="W118" i="143" l="1" a="1"/>
  <c r="W118" i="143" s="1"/>
  <c r="V118" i="143" a="1"/>
  <c r="V118" i="143" s="1"/>
  <c r="U118" i="143" a="1"/>
  <c r="U118" i="143" s="1"/>
  <c r="Z118" i="143" s="1"/>
  <c r="X21" i="289" a="1"/>
  <c r="X21" i="289" s="1"/>
  <c r="AC117" i="143"/>
  <c r="Q118" i="143" a="1"/>
  <c r="Q118" i="143" s="1"/>
  <c r="R118" i="143" s="1"/>
  <c r="K118" i="143" a="1"/>
  <c r="K118" i="143" s="1"/>
  <c r="P117" i="143"/>
  <c r="R117" i="143" s="1"/>
  <c r="AA117" i="143" s="1"/>
  <c r="AB117" i="143"/>
  <c r="D120" i="143"/>
  <c r="J119" i="143"/>
  <c r="E119" i="143"/>
  <c r="G119" i="143"/>
  <c r="F119" i="143"/>
  <c r="H119" i="143"/>
  <c r="I119" i="143"/>
  <c r="O118" i="143"/>
  <c r="AD116" i="143"/>
  <c r="AE116" i="143" s="1"/>
  <c r="X31" i="289" l="1"/>
  <c r="X34" i="289"/>
  <c r="W119" i="143" a="1"/>
  <c r="W119" i="143" s="1"/>
  <c r="V119" i="143" a="1"/>
  <c r="V119" i="143" s="1"/>
  <c r="U119" i="143" a="1"/>
  <c r="U119" i="143" s="1"/>
  <c r="Z119" i="143" s="1"/>
  <c r="AC118" i="143"/>
  <c r="AB118" i="143"/>
  <c r="AA118" i="143"/>
  <c r="AD117" i="143"/>
  <c r="AE117" i="143" s="1"/>
  <c r="D121" i="143"/>
  <c r="G120" i="143"/>
  <c r="E120" i="143"/>
  <c r="F120" i="143"/>
  <c r="I120" i="143"/>
  <c r="J120" i="143"/>
  <c r="H120" i="143"/>
  <c r="N119" i="143"/>
  <c r="K119" i="143" a="1"/>
  <c r="K119" i="143" s="1"/>
  <c r="Y21" i="289" s="1" a="1"/>
  <c r="Y21" i="289" s="1"/>
  <c r="Q119" i="143" a="1"/>
  <c r="Q119" i="143" s="1"/>
  <c r="Z21" i="289" l="1" a="1"/>
  <c r="Z21" i="289" s="1"/>
  <c r="W120" i="143" a="1"/>
  <c r="W120" i="143" s="1"/>
  <c r="V120" i="143" a="1"/>
  <c r="V120" i="143" s="1"/>
  <c r="U120" i="143" a="1"/>
  <c r="U120" i="143" s="1"/>
  <c r="Z120" i="143" s="1"/>
  <c r="Y31" i="289"/>
  <c r="Y34" i="289"/>
  <c r="AC119" i="143"/>
  <c r="AB119" i="143"/>
  <c r="AD118" i="143"/>
  <c r="AE118" i="143" s="1"/>
  <c r="Q120" i="143" a="1"/>
  <c r="Q120" i="143" s="1"/>
  <c r="K120" i="143" a="1"/>
  <c r="K120" i="143" s="1"/>
  <c r="N120" i="143"/>
  <c r="D122" i="143"/>
  <c r="H121" i="143"/>
  <c r="F121" i="143"/>
  <c r="E121" i="143"/>
  <c r="I121" i="143"/>
  <c r="G121" i="143"/>
  <c r="J121" i="143"/>
  <c r="O119" i="143"/>
  <c r="P119" i="143"/>
  <c r="R119" i="143" s="1"/>
  <c r="AA119" i="143" s="1"/>
  <c r="Z31" i="289" l="1"/>
  <c r="Z34" i="289"/>
  <c r="V121" i="143" a="1"/>
  <c r="V121" i="143" s="1"/>
  <c r="U121" i="143" a="1"/>
  <c r="U121" i="143" s="1"/>
  <c r="Z121" i="143" s="1"/>
  <c r="W121" i="143" a="1"/>
  <c r="W121" i="143" s="1"/>
  <c r="AC120" i="143"/>
  <c r="AB120" i="143"/>
  <c r="AD119" i="143"/>
  <c r="AE119" i="143" s="1"/>
  <c r="Q121" i="143" a="1"/>
  <c r="Q121" i="143" s="1"/>
  <c r="K121" i="143" a="1"/>
  <c r="K121" i="143" s="1"/>
  <c r="N121" i="143"/>
  <c r="J122" i="143"/>
  <c r="G122" i="143"/>
  <c r="E122" i="143"/>
  <c r="F122" i="143"/>
  <c r="H122" i="143"/>
  <c r="I122" i="143"/>
  <c r="D123" i="143"/>
  <c r="P120" i="143"/>
  <c r="R120" i="143" s="1"/>
  <c r="AA120" i="143" s="1"/>
  <c r="O120" i="143"/>
  <c r="W122" i="143" l="1" a="1"/>
  <c r="W122" i="143" s="1"/>
  <c r="V122" i="143" a="1"/>
  <c r="V122" i="143" s="1"/>
  <c r="U122" i="143" a="1"/>
  <c r="U122" i="143" s="1"/>
  <c r="Z122" i="143" s="1"/>
  <c r="AC121" i="143"/>
  <c r="AA121" i="143"/>
  <c r="AB121" i="143"/>
  <c r="AD120" i="143"/>
  <c r="AE120" i="143" s="1"/>
  <c r="I123" i="143"/>
  <c r="D124" i="143"/>
  <c r="J123" i="143"/>
  <c r="H123" i="143"/>
  <c r="E123" i="143"/>
  <c r="F123" i="143"/>
  <c r="G123" i="143"/>
  <c r="Q122" i="143" a="1"/>
  <c r="Q122" i="143" s="1"/>
  <c r="N122" i="143"/>
  <c r="K122" i="143" a="1"/>
  <c r="K122" i="143" s="1"/>
  <c r="O121" i="143"/>
  <c r="P121" i="143"/>
  <c r="R121" i="143" s="1"/>
  <c r="U123" i="143" l="1" a="1"/>
  <c r="U123" i="143" s="1"/>
  <c r="Z123" i="143" s="1"/>
  <c r="V123" i="143" a="1"/>
  <c r="V123" i="143" s="1"/>
  <c r="W123" i="143" a="1"/>
  <c r="W123" i="143" s="1"/>
  <c r="AC122" i="143"/>
  <c r="AD121" i="143"/>
  <c r="AE121" i="143" s="1"/>
  <c r="AB122" i="143"/>
  <c r="P122" i="143"/>
  <c r="R122" i="143" s="1"/>
  <c r="O122" i="143"/>
  <c r="AA122" i="143"/>
  <c r="J124" i="143"/>
  <c r="I124" i="143"/>
  <c r="G124" i="143"/>
  <c r="H124" i="143"/>
  <c r="F124" i="143"/>
  <c r="E124" i="143"/>
  <c r="D125" i="143"/>
  <c r="Q123" i="143" a="1"/>
  <c r="Q123" i="143" s="1"/>
  <c r="K123" i="143" a="1"/>
  <c r="K123" i="143" s="1"/>
  <c r="N123" i="143"/>
  <c r="V124" i="143" l="1" a="1"/>
  <c r="V124" i="143" s="1"/>
  <c r="W124" i="143" a="1"/>
  <c r="W124" i="143" s="1"/>
  <c r="U124" i="143" a="1"/>
  <c r="U124" i="143" s="1"/>
  <c r="Z124" i="143" s="1"/>
  <c r="AC123" i="143"/>
  <c r="AB123" i="143"/>
  <c r="P123" i="143"/>
  <c r="R123" i="143" s="1"/>
  <c r="O123" i="143"/>
  <c r="AA123" i="143"/>
  <c r="AD122" i="143"/>
  <c r="AE122" i="143" s="1"/>
  <c r="N124" i="143"/>
  <c r="K124" i="143" a="1"/>
  <c r="K124" i="143" s="1"/>
  <c r="AD21" i="289" s="1" a="1"/>
  <c r="AD21" i="289" s="1"/>
  <c r="Q124" i="143" a="1"/>
  <c r="Q124" i="143" s="1"/>
  <c r="F125" i="143"/>
  <c r="E125" i="143"/>
  <c r="H125" i="143"/>
  <c r="G125" i="143"/>
  <c r="I125" i="143"/>
  <c r="D126" i="143"/>
  <c r="J125" i="143"/>
  <c r="AD34" i="289" l="1"/>
  <c r="AD31" i="289"/>
  <c r="AE21" i="289" a="1"/>
  <c r="AE21" i="289" s="1"/>
  <c r="V125" i="143" a="1"/>
  <c r="V125" i="143" s="1"/>
  <c r="U125" i="143" a="1"/>
  <c r="U125" i="143" s="1"/>
  <c r="Z125" i="143" s="1"/>
  <c r="W125" i="143" a="1"/>
  <c r="W125" i="143" s="1"/>
  <c r="AC124" i="143"/>
  <c r="AD123" i="143"/>
  <c r="AE123" i="143" s="1"/>
  <c r="AB124" i="143"/>
  <c r="D127" i="143"/>
  <c r="G126" i="143"/>
  <c r="J126" i="143"/>
  <c r="H126" i="143"/>
  <c r="E126" i="143"/>
  <c r="F126" i="143"/>
  <c r="I126" i="143"/>
  <c r="K125" i="143" a="1"/>
  <c r="K125" i="143" s="1"/>
  <c r="N125" i="143"/>
  <c r="Q125" i="143" a="1"/>
  <c r="Q125" i="143" s="1"/>
  <c r="AA124" i="143"/>
  <c r="O124" i="143"/>
  <c r="P124" i="143"/>
  <c r="R124" i="143" s="1"/>
  <c r="AE34" i="289" l="1"/>
  <c r="AE31" i="289"/>
  <c r="U126" i="143" a="1"/>
  <c r="U126" i="143" s="1"/>
  <c r="Z126" i="143" s="1"/>
  <c r="W126" i="143" a="1"/>
  <c r="W126" i="143" s="1"/>
  <c r="V126" i="143" a="1"/>
  <c r="V126" i="143" s="1"/>
  <c r="AF21" i="289" a="1"/>
  <c r="AF21" i="289" s="1"/>
  <c r="AC125" i="143"/>
  <c r="AD124" i="143"/>
  <c r="AE124" i="143" s="1"/>
  <c r="AB125" i="143"/>
  <c r="AA125" i="143"/>
  <c r="J127" i="143"/>
  <c r="D128" i="143"/>
  <c r="F127" i="143"/>
  <c r="I127" i="143"/>
  <c r="G127" i="143"/>
  <c r="E127" i="143"/>
  <c r="H127" i="143"/>
  <c r="O125" i="143"/>
  <c r="P125" i="143"/>
  <c r="R125" i="143" s="1"/>
  <c r="Q126" i="143" a="1"/>
  <c r="Q126" i="143" s="1"/>
  <c r="N126" i="143"/>
  <c r="K126" i="143" a="1"/>
  <c r="K126" i="143" s="1"/>
  <c r="AF31" i="289" l="1"/>
  <c r="AF34" i="289"/>
  <c r="W127" i="143" a="1"/>
  <c r="W127" i="143" s="1"/>
  <c r="V127" i="143" a="1"/>
  <c r="V127" i="143" s="1"/>
  <c r="U127" i="143" a="1"/>
  <c r="U127" i="143" s="1"/>
  <c r="Z127" i="143" s="1"/>
  <c r="AC126" i="143"/>
  <c r="AB126" i="143"/>
  <c r="F128" i="143"/>
  <c r="J128" i="143"/>
  <c r="E128" i="143"/>
  <c r="G128" i="143"/>
  <c r="I128" i="143"/>
  <c r="H128" i="143"/>
  <c r="D129" i="143"/>
  <c r="AA126" i="143"/>
  <c r="O126" i="143"/>
  <c r="P126" i="143"/>
  <c r="R126" i="143" s="1"/>
  <c r="K127" i="143" a="1"/>
  <c r="K127" i="143" s="1"/>
  <c r="AG21" i="289" s="1" a="1"/>
  <c r="AG21" i="289" s="1"/>
  <c r="Q127" i="143" a="1"/>
  <c r="Q127" i="143" s="1"/>
  <c r="N127" i="143"/>
  <c r="AD125" i="143"/>
  <c r="AE125" i="143" s="1"/>
  <c r="AH21" i="289" l="1" a="1"/>
  <c r="AH21" i="289" s="1"/>
  <c r="V128" i="143" a="1"/>
  <c r="V128" i="143" s="1"/>
  <c r="U128" i="143" a="1"/>
  <c r="U128" i="143" s="1"/>
  <c r="Z128" i="143" s="1"/>
  <c r="W128" i="143" a="1"/>
  <c r="W128" i="143" s="1"/>
  <c r="AG31" i="289"/>
  <c r="AG34" i="289"/>
  <c r="AC127" i="143"/>
  <c r="AB127" i="143"/>
  <c r="AD126" i="143"/>
  <c r="AE126" i="143" s="1"/>
  <c r="D130" i="143"/>
  <c r="H129" i="143"/>
  <c r="F129" i="143"/>
  <c r="G129" i="143"/>
  <c r="E129" i="143"/>
  <c r="J129" i="143"/>
  <c r="I129" i="143"/>
  <c r="Q128" i="143" a="1"/>
  <c r="Q128" i="143" s="1"/>
  <c r="K128" i="143" a="1"/>
  <c r="K128" i="143" s="1"/>
  <c r="N128" i="143"/>
  <c r="AA127" i="143"/>
  <c r="O127" i="143"/>
  <c r="P127" i="143"/>
  <c r="R127" i="143" s="1"/>
  <c r="AH34" i="289" l="1"/>
  <c r="AH31" i="289"/>
  <c r="U129" i="143" a="1"/>
  <c r="U129" i="143" s="1"/>
  <c r="Z129" i="143" s="1"/>
  <c r="W129" i="143" a="1"/>
  <c r="W129" i="143" s="1"/>
  <c r="V129" i="143" a="1"/>
  <c r="V129" i="143" s="1"/>
  <c r="AC128" i="143"/>
  <c r="AB128" i="143"/>
  <c r="AD127" i="143"/>
  <c r="AE127" i="143" s="1"/>
  <c r="K129" i="143" a="1"/>
  <c r="K129" i="143" s="1"/>
  <c r="Q129" i="143" a="1"/>
  <c r="Q129" i="143" s="1"/>
  <c r="N129" i="143"/>
  <c r="P128" i="143"/>
  <c r="R128" i="143" s="1"/>
  <c r="O128" i="143"/>
  <c r="E130" i="143"/>
  <c r="G130" i="143"/>
  <c r="J130" i="143"/>
  <c r="H130" i="143"/>
  <c r="D131" i="143"/>
  <c r="F130" i="143"/>
  <c r="I130" i="143"/>
  <c r="AA128" i="143"/>
  <c r="F21" i="288" l="1" a="1"/>
  <c r="F21" i="288" s="1"/>
  <c r="V130" i="143" a="1"/>
  <c r="V130" i="143" s="1"/>
  <c r="U130" i="143" a="1"/>
  <c r="U130" i="143" s="1"/>
  <c r="Z130" i="143" s="1"/>
  <c r="W130" i="143" a="1"/>
  <c r="W130" i="143" s="1"/>
  <c r="AC129" i="143"/>
  <c r="AD128" i="143"/>
  <c r="AE128" i="143" s="1"/>
  <c r="AB129" i="143"/>
  <c r="Q130" i="143" a="1"/>
  <c r="Q130" i="143" s="1"/>
  <c r="K130" i="143" a="1"/>
  <c r="K130" i="143" s="1"/>
  <c r="N130" i="143"/>
  <c r="G131" i="143"/>
  <c r="H131" i="143"/>
  <c r="E131" i="143"/>
  <c r="J131" i="143"/>
  <c r="F131" i="143"/>
  <c r="D132" i="143"/>
  <c r="I131" i="143"/>
  <c r="O129" i="143"/>
  <c r="P129" i="143"/>
  <c r="R129" i="143" s="1"/>
  <c r="AA129" i="143" s="1"/>
  <c r="F31" i="288" l="1"/>
  <c r="F34" i="288"/>
  <c r="U131" i="143" a="1"/>
  <c r="U131" i="143" s="1"/>
  <c r="Z131" i="143" s="1"/>
  <c r="V131" i="143" a="1"/>
  <c r="V131" i="143" s="1"/>
  <c r="W131" i="143" a="1"/>
  <c r="W131" i="143" s="1"/>
  <c r="AC130" i="143"/>
  <c r="AB130" i="143"/>
  <c r="AD129" i="143"/>
  <c r="AE129" i="143" s="1"/>
  <c r="H132" i="143"/>
  <c r="J132" i="143"/>
  <c r="E132" i="143"/>
  <c r="F132" i="143"/>
  <c r="I132" i="143"/>
  <c r="D133" i="143"/>
  <c r="G132" i="143"/>
  <c r="P130" i="143"/>
  <c r="R130" i="143" s="1"/>
  <c r="AA130" i="143" s="1"/>
  <c r="O130" i="143"/>
  <c r="K131" i="143" a="1"/>
  <c r="K131" i="143" s="1"/>
  <c r="Q131" i="143" a="1"/>
  <c r="Q131" i="143" s="1"/>
  <c r="N131" i="143"/>
  <c r="H21" i="288" l="1" a="1"/>
  <c r="H21" i="288" s="1"/>
  <c r="V132" i="143" a="1"/>
  <c r="V132" i="143" s="1"/>
  <c r="W132" i="143" a="1"/>
  <c r="W132" i="143" s="1"/>
  <c r="U132" i="143" a="1"/>
  <c r="U132" i="143" s="1"/>
  <c r="Z132" i="143" s="1"/>
  <c r="AC131" i="143"/>
  <c r="AD130" i="143"/>
  <c r="AE130" i="143" s="1"/>
  <c r="J133" i="143"/>
  <c r="D134" i="143"/>
  <c r="E133" i="143"/>
  <c r="F133" i="143"/>
  <c r="H133" i="143"/>
  <c r="I133" i="143"/>
  <c r="G133" i="143"/>
  <c r="AB131" i="143"/>
  <c r="N132" i="143"/>
  <c r="K132" i="143" a="1"/>
  <c r="K132" i="143" s="1"/>
  <c r="Q132" i="143" a="1"/>
  <c r="Q132" i="143" s="1"/>
  <c r="O131" i="143"/>
  <c r="P131" i="143"/>
  <c r="R131" i="143" s="1"/>
  <c r="AA131" i="143" s="1"/>
  <c r="H31" i="288" l="1"/>
  <c r="H34" i="288"/>
  <c r="V133" i="143" a="1"/>
  <c r="V133" i="143" s="1"/>
  <c r="U133" i="143" a="1"/>
  <c r="U133" i="143" s="1"/>
  <c r="Z133" i="143" s="1"/>
  <c r="W133" i="143" a="1"/>
  <c r="W133" i="143" s="1"/>
  <c r="AC132" i="143"/>
  <c r="AB132" i="143"/>
  <c r="AD131" i="143"/>
  <c r="AE131" i="143" s="1"/>
  <c r="O132" i="143"/>
  <c r="P132" i="143"/>
  <c r="R132" i="143" s="1"/>
  <c r="AA132" i="143" s="1"/>
  <c r="K133" i="143" a="1"/>
  <c r="K133" i="143" s="1"/>
  <c r="I21" i="288" s="1" a="1"/>
  <c r="I21" i="288" s="1"/>
  <c r="N133" i="143"/>
  <c r="Q133" i="143" a="1"/>
  <c r="Q133" i="143" s="1"/>
  <c r="J134" i="143"/>
  <c r="H134" i="143"/>
  <c r="G134" i="143"/>
  <c r="D135" i="143"/>
  <c r="E134" i="143"/>
  <c r="F134" i="143"/>
  <c r="I134" i="143"/>
  <c r="I31" i="288" l="1"/>
  <c r="I34" i="288"/>
  <c r="U134" i="143" a="1"/>
  <c r="U134" i="143" s="1"/>
  <c r="Z134" i="143" s="1"/>
  <c r="V134" i="143" a="1"/>
  <c r="V134" i="143" s="1"/>
  <c r="W134" i="143" a="1"/>
  <c r="W134" i="143" s="1"/>
  <c r="AC133" i="143"/>
  <c r="AD132" i="143"/>
  <c r="AE132" i="143" s="1"/>
  <c r="AB133" i="143"/>
  <c r="O133" i="143"/>
  <c r="P133" i="143"/>
  <c r="R133" i="143" s="1"/>
  <c r="AA133" i="143" s="1"/>
  <c r="K134" i="143" a="1"/>
  <c r="K134" i="143" s="1"/>
  <c r="J21" i="288" s="1" a="1"/>
  <c r="J21" i="288" s="1"/>
  <c r="N134" i="143"/>
  <c r="Q134" i="143" a="1"/>
  <c r="Q134" i="143" s="1"/>
  <c r="G135" i="143"/>
  <c r="F135" i="143"/>
  <c r="D136" i="143"/>
  <c r="E135" i="143"/>
  <c r="J135" i="143"/>
  <c r="I135" i="143"/>
  <c r="H135" i="143"/>
  <c r="J34" i="288" l="1"/>
  <c r="J31" i="288"/>
  <c r="K21" i="288" a="1"/>
  <c r="K21" i="288" s="1"/>
  <c r="U135" i="143" a="1"/>
  <c r="U135" i="143" s="1"/>
  <c r="Z135" i="143" s="1"/>
  <c r="W135" i="143" a="1"/>
  <c r="W135" i="143" s="1"/>
  <c r="V135" i="143" a="1"/>
  <c r="V135" i="143" s="1"/>
  <c r="AC134" i="143"/>
  <c r="AD133" i="143"/>
  <c r="AE133" i="143" s="1"/>
  <c r="AB134" i="143"/>
  <c r="E136" i="143"/>
  <c r="J136" i="143"/>
  <c r="G136" i="143"/>
  <c r="I136" i="143"/>
  <c r="H136" i="143"/>
  <c r="F136" i="143"/>
  <c r="D137" i="143"/>
  <c r="O134" i="143"/>
  <c r="P134" i="143"/>
  <c r="R134" i="143" s="1"/>
  <c r="AA134" i="143" s="1"/>
  <c r="N135" i="143"/>
  <c r="Q135" i="143" a="1"/>
  <c r="Q135" i="143" s="1"/>
  <c r="K135" i="143" a="1"/>
  <c r="K135" i="143" s="1"/>
  <c r="K34" i="288" l="1"/>
  <c r="K31" i="288"/>
  <c r="U136" i="143" a="1"/>
  <c r="U136" i="143" s="1"/>
  <c r="Z136" i="143" s="1"/>
  <c r="V136" i="143" a="1"/>
  <c r="V136" i="143" s="1"/>
  <c r="W136" i="143" a="1"/>
  <c r="W136" i="143" s="1"/>
  <c r="AC135" i="143"/>
  <c r="AA135" i="143"/>
  <c r="AD134" i="143"/>
  <c r="AE134" i="143" s="1"/>
  <c r="AB135" i="143"/>
  <c r="Q136" i="143" a="1"/>
  <c r="Q136" i="143" s="1"/>
  <c r="N136" i="143"/>
  <c r="K136" i="143" a="1"/>
  <c r="K136" i="143" s="1"/>
  <c r="E137" i="143"/>
  <c r="H137" i="143"/>
  <c r="G137" i="143"/>
  <c r="F137" i="143"/>
  <c r="D138" i="143"/>
  <c r="I137" i="143"/>
  <c r="J137" i="143"/>
  <c r="O135" i="143"/>
  <c r="P135" i="143"/>
  <c r="R135" i="143" s="1"/>
  <c r="W137" i="143" l="1" a="1"/>
  <c r="W137" i="143" s="1"/>
  <c r="V137" i="143" a="1"/>
  <c r="V137" i="143" s="1"/>
  <c r="U137" i="143" a="1"/>
  <c r="U137" i="143" s="1"/>
  <c r="Z137" i="143" s="1"/>
  <c r="AC136" i="143"/>
  <c r="AD135" i="143"/>
  <c r="AE135" i="143" s="1"/>
  <c r="O136" i="143"/>
  <c r="P136" i="143"/>
  <c r="R136" i="143" s="1"/>
  <c r="AB136" i="143"/>
  <c r="AA136" i="143"/>
  <c r="Q137" i="143" a="1"/>
  <c r="Q137" i="143" s="1"/>
  <c r="K137" i="143" a="1"/>
  <c r="K137" i="143" s="1"/>
  <c r="N137" i="143"/>
  <c r="G138" i="143"/>
  <c r="H138" i="143"/>
  <c r="J138" i="143"/>
  <c r="I138" i="143"/>
  <c r="E138" i="143"/>
  <c r="F138" i="143"/>
  <c r="D139" i="143"/>
  <c r="U138" i="143" l="1" a="1"/>
  <c r="U138" i="143" s="1"/>
  <c r="Z138" i="143" s="1"/>
  <c r="W138" i="143" a="1"/>
  <c r="W138" i="143" s="1"/>
  <c r="V138" i="143" a="1"/>
  <c r="V138" i="143" s="1"/>
  <c r="AC137" i="143"/>
  <c r="AA137" i="143"/>
  <c r="P137" i="143"/>
  <c r="R137" i="143" s="1"/>
  <c r="O137" i="143"/>
  <c r="F139" i="143"/>
  <c r="D140" i="143"/>
  <c r="J139" i="143"/>
  <c r="I139" i="143"/>
  <c r="G139" i="143"/>
  <c r="E139" i="143"/>
  <c r="H139" i="143"/>
  <c r="AD136" i="143"/>
  <c r="AE136" i="143" s="1"/>
  <c r="K138" i="143" a="1"/>
  <c r="K138" i="143" s="1"/>
  <c r="N21" i="288" s="1" a="1"/>
  <c r="N21" i="288" s="1"/>
  <c r="Q138" i="143" a="1"/>
  <c r="Q138" i="143" s="1"/>
  <c r="N138" i="143"/>
  <c r="AB137" i="143"/>
  <c r="O21" i="288" l="1" a="1"/>
  <c r="O21" i="288" s="1"/>
  <c r="W139" i="143" a="1"/>
  <c r="W139" i="143" s="1"/>
  <c r="V139" i="143" a="1"/>
  <c r="V139" i="143" s="1"/>
  <c r="U139" i="143" a="1"/>
  <c r="U139" i="143" s="1"/>
  <c r="Z139" i="143" s="1"/>
  <c r="N31" i="288"/>
  <c r="N34" i="288"/>
  <c r="AC138" i="143"/>
  <c r="AB138" i="143"/>
  <c r="AD137" i="143"/>
  <c r="AE137" i="143" s="1"/>
  <c r="H140" i="143"/>
  <c r="G140" i="143"/>
  <c r="I140" i="143"/>
  <c r="E140" i="143"/>
  <c r="F140" i="143"/>
  <c r="D141" i="143"/>
  <c r="J140" i="143"/>
  <c r="N139" i="143"/>
  <c r="Q139" i="143" a="1"/>
  <c r="Q139" i="143" s="1"/>
  <c r="K139" i="143" a="1"/>
  <c r="K139" i="143" s="1"/>
  <c r="P138" i="143"/>
  <c r="R138" i="143" s="1"/>
  <c r="AA138" i="143" s="1"/>
  <c r="O138" i="143"/>
  <c r="O31" i="288" l="1"/>
  <c r="O34" i="288"/>
  <c r="V140" i="143" a="1"/>
  <c r="V140" i="143" s="1"/>
  <c r="W140" i="143" a="1"/>
  <c r="W140" i="143" s="1"/>
  <c r="U140" i="143" a="1"/>
  <c r="U140" i="143" s="1"/>
  <c r="Z140" i="143" s="1"/>
  <c r="P21" i="288" a="1"/>
  <c r="P21" i="288" s="1"/>
  <c r="AC139" i="143"/>
  <c r="AD138" i="143"/>
  <c r="AE138" i="143" s="1"/>
  <c r="I141" i="143"/>
  <c r="J141" i="143"/>
  <c r="H141" i="143"/>
  <c r="F141" i="143"/>
  <c r="G141" i="143"/>
  <c r="D142" i="143"/>
  <c r="E141" i="143"/>
  <c r="N140" i="143"/>
  <c r="K140" i="143" a="1"/>
  <c r="K140" i="143" s="1"/>
  <c r="Q140" i="143" a="1"/>
  <c r="Q140" i="143" s="1"/>
  <c r="P139" i="143"/>
  <c r="R139" i="143" s="1"/>
  <c r="AA139" i="143" s="1"/>
  <c r="O139" i="143"/>
  <c r="AB139" i="143"/>
  <c r="P34" i="288" l="1"/>
  <c r="P31" i="288"/>
  <c r="W141" i="143" a="1"/>
  <c r="W141" i="143" s="1"/>
  <c r="Q21" i="288" a="1"/>
  <c r="Q21" i="288" s="1"/>
  <c r="U141" i="143" a="1"/>
  <c r="U141" i="143" s="1"/>
  <c r="Z141" i="143" s="1"/>
  <c r="V141" i="143" a="1"/>
  <c r="V141" i="143" s="1"/>
  <c r="AC140" i="143"/>
  <c r="AD139" i="143"/>
  <c r="AE139" i="143" s="1"/>
  <c r="AB140" i="143"/>
  <c r="AA140" i="143"/>
  <c r="N141" i="143"/>
  <c r="K141" i="143" a="1"/>
  <c r="K141" i="143" s="1"/>
  <c r="Q141" i="143" a="1"/>
  <c r="Q141" i="143" s="1"/>
  <c r="O140" i="143"/>
  <c r="P140" i="143"/>
  <c r="R140" i="143" s="1"/>
  <c r="D143" i="143"/>
  <c r="G142" i="143"/>
  <c r="E142" i="143"/>
  <c r="J142" i="143"/>
  <c r="F142" i="143"/>
  <c r="I142" i="143"/>
  <c r="H142" i="143"/>
  <c r="Q34" i="288" l="1"/>
  <c r="Q31" i="288"/>
  <c r="R21" i="288" a="1"/>
  <c r="R21" i="288" s="1"/>
  <c r="V142" i="143" a="1"/>
  <c r="V142" i="143" s="1"/>
  <c r="U142" i="143" a="1"/>
  <c r="U142" i="143" s="1"/>
  <c r="Z142" i="143" s="1"/>
  <c r="W142" i="143" a="1"/>
  <c r="W142" i="143" s="1"/>
  <c r="AC141" i="143"/>
  <c r="AA141" i="143"/>
  <c r="AD140" i="143"/>
  <c r="AE140" i="143" s="1"/>
  <c r="P141" i="143"/>
  <c r="R141" i="143" s="1"/>
  <c r="O141" i="143"/>
  <c r="Q142" i="143" a="1"/>
  <c r="Q142" i="143" s="1"/>
  <c r="K142" i="143" a="1"/>
  <c r="K142" i="143" s="1"/>
  <c r="N142" i="143"/>
  <c r="F143" i="143"/>
  <c r="G143" i="143"/>
  <c r="D144" i="143"/>
  <c r="J143" i="143"/>
  <c r="H143" i="143"/>
  <c r="E143" i="143"/>
  <c r="I143" i="143"/>
  <c r="AB141" i="143"/>
  <c r="R31" i="288" l="1"/>
  <c r="R34" i="288"/>
  <c r="W143" i="143" a="1"/>
  <c r="W143" i="143" s="1"/>
  <c r="U143" i="143" a="1"/>
  <c r="U143" i="143" s="1"/>
  <c r="Z143" i="143" s="1"/>
  <c r="V143" i="143" a="1"/>
  <c r="V143" i="143" s="1"/>
  <c r="AC142" i="143"/>
  <c r="AA142" i="143"/>
  <c r="AD141" i="143"/>
  <c r="AE141" i="143" s="1"/>
  <c r="H144" i="143"/>
  <c r="J144" i="143"/>
  <c r="F144" i="143"/>
  <c r="E144" i="143"/>
  <c r="I144" i="143"/>
  <c r="G144" i="143"/>
  <c r="D145" i="143"/>
  <c r="AB142" i="143"/>
  <c r="O142" i="143"/>
  <c r="P142" i="143"/>
  <c r="R142" i="143" s="1"/>
  <c r="N143" i="143"/>
  <c r="Q143" i="143" a="1"/>
  <c r="Q143" i="143" s="1"/>
  <c r="K143" i="143" a="1"/>
  <c r="K143" i="143" s="1"/>
  <c r="U144" i="143" l="1" a="1"/>
  <c r="U144" i="143" s="1"/>
  <c r="Z144" i="143" s="1"/>
  <c r="W144" i="143" a="1"/>
  <c r="W144" i="143" s="1"/>
  <c r="V144" i="143" a="1"/>
  <c r="V144" i="143" s="1"/>
  <c r="AC143" i="143"/>
  <c r="AD142" i="143"/>
  <c r="AE142" i="143" s="1"/>
  <c r="AB143" i="143"/>
  <c r="P143" i="143"/>
  <c r="R143" i="143" s="1"/>
  <c r="AA143" i="143" s="1"/>
  <c r="O143" i="143"/>
  <c r="H145" i="143"/>
  <c r="D146" i="143"/>
  <c r="E145" i="143"/>
  <c r="F145" i="143"/>
  <c r="I145" i="143"/>
  <c r="J145" i="143"/>
  <c r="G145" i="143"/>
  <c r="N144" i="143"/>
  <c r="Q144" i="143" a="1"/>
  <c r="Q144" i="143" s="1"/>
  <c r="K144" i="143" a="1"/>
  <c r="K144" i="143" s="1"/>
  <c r="T21" i="288" s="1" a="1"/>
  <c r="T21" i="288" s="1"/>
  <c r="U145" i="143" l="1" a="1"/>
  <c r="U145" i="143" s="1"/>
  <c r="Z145" i="143" s="1"/>
  <c r="V145" i="143" a="1"/>
  <c r="V145" i="143" s="1"/>
  <c r="W145" i="143" a="1"/>
  <c r="W145" i="143" s="1"/>
  <c r="U21" i="288" a="1"/>
  <c r="U21" i="288" s="1"/>
  <c r="T34" i="288"/>
  <c r="T31" i="288"/>
  <c r="AC144" i="143"/>
  <c r="AB144" i="143"/>
  <c r="AD143" i="143"/>
  <c r="AE143" i="143" s="1"/>
  <c r="K145" i="143" a="1"/>
  <c r="K145" i="143" s="1"/>
  <c r="Q145" i="143" a="1"/>
  <c r="Q145" i="143" s="1"/>
  <c r="N145" i="143"/>
  <c r="H146" i="143"/>
  <c r="E146" i="143"/>
  <c r="J146" i="143"/>
  <c r="D147" i="143"/>
  <c r="I146" i="143"/>
  <c r="F146" i="143"/>
  <c r="G146" i="143"/>
  <c r="AA144" i="143"/>
  <c r="O144" i="143"/>
  <c r="P144" i="143"/>
  <c r="R144" i="143" s="1"/>
  <c r="U31" i="288" l="1"/>
  <c r="U34" i="288"/>
  <c r="U146" i="143" a="1"/>
  <c r="U146" i="143" s="1"/>
  <c r="Z146" i="143" s="1"/>
  <c r="V146" i="143" a="1"/>
  <c r="V146" i="143" s="1"/>
  <c r="W146" i="143" a="1"/>
  <c r="W146" i="143" s="1"/>
  <c r="V21" i="288" a="1"/>
  <c r="V21" i="288" s="1"/>
  <c r="AC145" i="143"/>
  <c r="AA145" i="143"/>
  <c r="AD144" i="143"/>
  <c r="AE144" i="143" s="1"/>
  <c r="AB145" i="143"/>
  <c r="K146" i="143" a="1"/>
  <c r="K146" i="143" s="1"/>
  <c r="Q146" i="143" a="1"/>
  <c r="Q146" i="143" s="1"/>
  <c r="N146" i="143"/>
  <c r="I147" i="143"/>
  <c r="J147" i="143"/>
  <c r="G147" i="143"/>
  <c r="E147" i="143"/>
  <c r="H147" i="143"/>
  <c r="D148" i="143"/>
  <c r="F147" i="143"/>
  <c r="O145" i="143"/>
  <c r="P145" i="143"/>
  <c r="R145" i="143" s="1"/>
  <c r="V31" i="288" l="1"/>
  <c r="V34" i="288"/>
  <c r="V147" i="143" a="1"/>
  <c r="V147" i="143" s="1"/>
  <c r="U147" i="143" a="1"/>
  <c r="U147" i="143" s="1"/>
  <c r="Z147" i="143" s="1"/>
  <c r="W147" i="143" a="1"/>
  <c r="W147" i="143" s="1"/>
  <c r="AC146" i="143"/>
  <c r="AA146" i="143"/>
  <c r="AD145" i="143"/>
  <c r="AE145" i="143" s="1"/>
  <c r="N147" i="143"/>
  <c r="Q147" i="143" a="1"/>
  <c r="Q147" i="143" s="1"/>
  <c r="K147" i="143" a="1"/>
  <c r="K147" i="143" s="1"/>
  <c r="W21" i="288" s="1" a="1"/>
  <c r="W21" i="288" s="1"/>
  <c r="G148" i="143"/>
  <c r="D149" i="143"/>
  <c r="J148" i="143"/>
  <c r="H148" i="143"/>
  <c r="E148" i="143"/>
  <c r="F148" i="143"/>
  <c r="I148" i="143"/>
  <c r="AB146" i="143"/>
  <c r="P146" i="143"/>
  <c r="R146" i="143" s="1"/>
  <c r="O146" i="143"/>
  <c r="W34" i="288" l="1"/>
  <c r="W31" i="288"/>
  <c r="U148" i="143" a="1"/>
  <c r="U148" i="143" s="1"/>
  <c r="Z148" i="143" s="1"/>
  <c r="V148" i="143" a="1"/>
  <c r="V148" i="143" s="1"/>
  <c r="W148" i="143" a="1"/>
  <c r="W148" i="143" s="1"/>
  <c r="X21" i="288" a="1"/>
  <c r="X21" i="288" s="1"/>
  <c r="AC147" i="143"/>
  <c r="AD146" i="143"/>
  <c r="AE146" i="143" s="1"/>
  <c r="AB147" i="143"/>
  <c r="O147" i="143"/>
  <c r="P147" i="143"/>
  <c r="R147" i="143" s="1"/>
  <c r="AA147" i="143" s="1"/>
  <c r="K148" i="143" a="1"/>
  <c r="K148" i="143" s="1"/>
  <c r="Q148" i="143" a="1"/>
  <c r="Q148" i="143" s="1"/>
  <c r="N148" i="143"/>
  <c r="I149" i="143"/>
  <c r="D150" i="143"/>
  <c r="J149" i="143"/>
  <c r="F149" i="143"/>
  <c r="H149" i="143"/>
  <c r="G149" i="143"/>
  <c r="E149" i="143"/>
  <c r="X31" i="288" l="1"/>
  <c r="X34" i="288"/>
  <c r="W149" i="143" a="1"/>
  <c r="W149" i="143" s="1"/>
  <c r="V149" i="143" a="1"/>
  <c r="V149" i="143" s="1"/>
  <c r="U149" i="143" a="1"/>
  <c r="U149" i="143" s="1"/>
  <c r="Z149" i="143" s="1"/>
  <c r="Y21" i="288" a="1"/>
  <c r="Y21" i="288" s="1"/>
  <c r="AC148" i="143"/>
  <c r="AB148" i="143"/>
  <c r="AD147" i="143"/>
  <c r="AE147" i="143" s="1"/>
  <c r="E150" i="143"/>
  <c r="I150" i="143"/>
  <c r="F150" i="143"/>
  <c r="G150" i="143"/>
  <c r="H150" i="143"/>
  <c r="D151" i="143"/>
  <c r="J150" i="143"/>
  <c r="K149" i="143" a="1"/>
  <c r="K149" i="143" s="1"/>
  <c r="Q149" i="143" a="1"/>
  <c r="Q149" i="143" s="1"/>
  <c r="N149" i="143"/>
  <c r="O148" i="143"/>
  <c r="P148" i="143"/>
  <c r="R148" i="143" s="1"/>
  <c r="AA148" i="143"/>
  <c r="Y34" i="288" l="1"/>
  <c r="Y31" i="288"/>
  <c r="V150" i="143" a="1"/>
  <c r="V150" i="143" s="1"/>
  <c r="U150" i="143" a="1"/>
  <c r="U150" i="143" s="1"/>
  <c r="Z150" i="143" s="1"/>
  <c r="W150" i="143" a="1"/>
  <c r="W150" i="143" s="1"/>
  <c r="AC149" i="143"/>
  <c r="AD148" i="143"/>
  <c r="AE148" i="143" s="1"/>
  <c r="AB149" i="143"/>
  <c r="P149" i="143"/>
  <c r="R149" i="143" s="1"/>
  <c r="AA149" i="143" s="1"/>
  <c r="O149" i="143"/>
  <c r="I151" i="143"/>
  <c r="H151" i="143"/>
  <c r="D152" i="143"/>
  <c r="F151" i="143"/>
  <c r="J151" i="143"/>
  <c r="E151" i="143"/>
  <c r="G151" i="143"/>
  <c r="Q150" i="143" a="1"/>
  <c r="Q150" i="143" s="1"/>
  <c r="K150" i="143" a="1"/>
  <c r="K150" i="143" s="1"/>
  <c r="Z21" i="288" s="1" a="1"/>
  <c r="Z21" i="288" s="1"/>
  <c r="N150" i="143"/>
  <c r="U151" i="143" l="1" a="1"/>
  <c r="U151" i="143" s="1"/>
  <c r="Z151" i="143" s="1"/>
  <c r="W151" i="143" a="1"/>
  <c r="W151" i="143" s="1"/>
  <c r="V151" i="143" a="1"/>
  <c r="V151" i="143" s="1"/>
  <c r="AA21" i="288" a="1"/>
  <c r="AA21" i="288" s="1"/>
  <c r="Z31" i="288"/>
  <c r="Z34" i="288"/>
  <c r="AC150" i="143"/>
  <c r="AB150" i="143"/>
  <c r="P150" i="143"/>
  <c r="R150" i="143" s="1"/>
  <c r="AA150" i="143" s="1"/>
  <c r="O150" i="143"/>
  <c r="Q151" i="143" a="1"/>
  <c r="Q151" i="143" s="1"/>
  <c r="K151" i="143" a="1"/>
  <c r="K151" i="143" s="1"/>
  <c r="N151" i="143"/>
  <c r="H152" i="143"/>
  <c r="J152" i="143"/>
  <c r="E152" i="143"/>
  <c r="D153" i="143"/>
  <c r="I152" i="143"/>
  <c r="G152" i="143"/>
  <c r="F152" i="143"/>
  <c r="AD149" i="143"/>
  <c r="AE149" i="143" s="1"/>
  <c r="AA31" i="288" l="1"/>
  <c r="AA34" i="288"/>
  <c r="V152" i="143" a="1"/>
  <c r="V152" i="143" s="1"/>
  <c r="W152" i="143" a="1"/>
  <c r="W152" i="143" s="1"/>
  <c r="U152" i="143" a="1"/>
  <c r="U152" i="143" s="1"/>
  <c r="Z152" i="143" s="1"/>
  <c r="AC151" i="143"/>
  <c r="AD150" i="143"/>
  <c r="AE150" i="143" s="1"/>
  <c r="N152" i="143"/>
  <c r="K152" i="143" a="1"/>
  <c r="K152" i="143" s="1"/>
  <c r="Q152" i="143" a="1"/>
  <c r="Q152" i="143" s="1"/>
  <c r="D154" i="143"/>
  <c r="F153" i="143"/>
  <c r="H153" i="143"/>
  <c r="E153" i="143"/>
  <c r="G153" i="143"/>
  <c r="J153" i="143"/>
  <c r="I153" i="143"/>
  <c r="AB151" i="143"/>
  <c r="O151" i="143"/>
  <c r="P151" i="143"/>
  <c r="R151" i="143" s="1"/>
  <c r="AA151" i="143"/>
  <c r="V153" i="143" l="1" a="1"/>
  <c r="V153" i="143" s="1"/>
  <c r="W153" i="143" a="1"/>
  <c r="W153" i="143" s="1"/>
  <c r="U153" i="143" a="1"/>
  <c r="U153" i="143" s="1"/>
  <c r="Z153" i="143" s="1"/>
  <c r="AC152" i="143"/>
  <c r="AB152" i="143"/>
  <c r="AD151" i="143"/>
  <c r="AE151" i="143" s="1"/>
  <c r="I154" i="143"/>
  <c r="G154" i="143"/>
  <c r="D155" i="143"/>
  <c r="J154" i="143"/>
  <c r="E154" i="143"/>
  <c r="F154" i="143"/>
  <c r="H154" i="143"/>
  <c r="N153" i="143"/>
  <c r="K153" i="143" a="1"/>
  <c r="K153" i="143" s="1"/>
  <c r="Q153" i="143" a="1"/>
  <c r="Q153" i="143" s="1"/>
  <c r="AA152" i="143"/>
  <c r="O152" i="143"/>
  <c r="P152" i="143"/>
  <c r="R152" i="143" s="1"/>
  <c r="V154" i="143" l="1" a="1"/>
  <c r="V154" i="143" s="1"/>
  <c r="U154" i="143" a="1"/>
  <c r="U154" i="143" s="1"/>
  <c r="Z154" i="143" s="1"/>
  <c r="W154" i="143" a="1"/>
  <c r="W154" i="143" s="1"/>
  <c r="AC153" i="143"/>
  <c r="AD152" i="143"/>
  <c r="AE152" i="143" s="1"/>
  <c r="F155" i="143"/>
  <c r="H155" i="143"/>
  <c r="E155" i="143"/>
  <c r="J155" i="143"/>
  <c r="G155" i="143"/>
  <c r="D156" i="143"/>
  <c r="I155" i="143"/>
  <c r="AB153" i="143"/>
  <c r="P153" i="143"/>
  <c r="R153" i="143" s="1"/>
  <c r="O153" i="143"/>
  <c r="N154" i="143"/>
  <c r="Q154" i="143" a="1"/>
  <c r="Q154" i="143" s="1"/>
  <c r="K154" i="143" a="1"/>
  <c r="K154" i="143" s="1"/>
  <c r="AD21" i="288" s="1" a="1"/>
  <c r="AD21" i="288" s="1"/>
  <c r="AA153" i="143"/>
  <c r="W155" i="143" l="1" a="1"/>
  <c r="W155" i="143" s="1"/>
  <c r="V155" i="143" a="1"/>
  <c r="V155" i="143" s="1"/>
  <c r="U155" i="143" a="1"/>
  <c r="U155" i="143" s="1"/>
  <c r="Z155" i="143" s="1"/>
  <c r="AD34" i="288"/>
  <c r="AD31" i="288"/>
  <c r="AC154" i="143"/>
  <c r="AD153" i="143"/>
  <c r="AE153" i="143" s="1"/>
  <c r="F156" i="143"/>
  <c r="J156" i="143"/>
  <c r="H156" i="143"/>
  <c r="G156" i="143"/>
  <c r="E156" i="143"/>
  <c r="D157" i="143"/>
  <c r="I156" i="143"/>
  <c r="AB154" i="143"/>
  <c r="AA154" i="143"/>
  <c r="N155" i="143"/>
  <c r="Q155" i="143" a="1"/>
  <c r="Q155" i="143" s="1"/>
  <c r="K155" i="143" a="1"/>
  <c r="K155" i="143" s="1"/>
  <c r="AE21" i="288" s="1" a="1"/>
  <c r="AE21" i="288" s="1"/>
  <c r="P154" i="143"/>
  <c r="R154" i="143" s="1"/>
  <c r="O154" i="143"/>
  <c r="V156" i="143" l="1" a="1"/>
  <c r="V156" i="143" s="1"/>
  <c r="U156" i="143" a="1"/>
  <c r="U156" i="143" s="1"/>
  <c r="Z156" i="143" s="1"/>
  <c r="W156" i="143" a="1"/>
  <c r="W156" i="143" s="1"/>
  <c r="AE31" i="288"/>
  <c r="AE34" i="288"/>
  <c r="AC155" i="143"/>
  <c r="AA155" i="143"/>
  <c r="Q156" i="143" a="1"/>
  <c r="Q156" i="143" s="1"/>
  <c r="N156" i="143"/>
  <c r="K156" i="143" a="1"/>
  <c r="K156" i="143" s="1"/>
  <c r="AF21" i="288" s="1" a="1"/>
  <c r="AF21" i="288" s="1"/>
  <c r="AD154" i="143"/>
  <c r="AE154" i="143" s="1"/>
  <c r="P155" i="143"/>
  <c r="R155" i="143" s="1"/>
  <c r="O155" i="143"/>
  <c r="AB155" i="143"/>
  <c r="D158" i="143"/>
  <c r="F157" i="143"/>
  <c r="G157" i="143"/>
  <c r="J157" i="143"/>
  <c r="I157" i="143"/>
  <c r="E157" i="143"/>
  <c r="H157" i="143"/>
  <c r="AF31" i="288" l="1"/>
  <c r="AF34" i="288"/>
  <c r="AG21" i="288" a="1"/>
  <c r="AG21" i="288" s="1"/>
  <c r="V157" i="143" a="1"/>
  <c r="V157" i="143" s="1"/>
  <c r="U157" i="143" a="1"/>
  <c r="U157" i="143" s="1"/>
  <c r="Z157" i="143" s="1"/>
  <c r="W157" i="143" a="1"/>
  <c r="W157" i="143" s="1"/>
  <c r="AC156" i="143"/>
  <c r="AB156" i="143"/>
  <c r="AD155" i="143"/>
  <c r="AE155" i="143" s="1"/>
  <c r="AA156" i="143"/>
  <c r="O156" i="143"/>
  <c r="P156" i="143"/>
  <c r="R156" i="143" s="1"/>
  <c r="N157" i="143"/>
  <c r="Q157" i="143" a="1"/>
  <c r="Q157" i="143" s="1"/>
  <c r="K157" i="143" a="1"/>
  <c r="K157" i="143" s="1"/>
  <c r="E158" i="143"/>
  <c r="F158" i="143"/>
  <c r="I158" i="143"/>
  <c r="G158" i="143"/>
  <c r="J158" i="143"/>
  <c r="H158" i="143"/>
  <c r="D159" i="143"/>
  <c r="AG31" i="288" l="1"/>
  <c r="AG34" i="288"/>
  <c r="AH21" i="288" a="1"/>
  <c r="AH21" i="288" s="1"/>
  <c r="U158" i="143" a="1"/>
  <c r="U158" i="143" s="1"/>
  <c r="Z158" i="143" s="1"/>
  <c r="W158" i="143" a="1"/>
  <c r="W158" i="143" s="1"/>
  <c r="V158" i="143" a="1"/>
  <c r="V158" i="143" s="1"/>
  <c r="AC157" i="143"/>
  <c r="AB157" i="143"/>
  <c r="AD156" i="143"/>
  <c r="AE156" i="143" s="1"/>
  <c r="AA157" i="143"/>
  <c r="P157" i="143"/>
  <c r="R157" i="143" s="1"/>
  <c r="O157" i="143"/>
  <c r="N158" i="143"/>
  <c r="K158" i="143" a="1"/>
  <c r="K158" i="143" s="1"/>
  <c r="Q158" i="143" a="1"/>
  <c r="Q158" i="143" s="1"/>
  <c r="F159" i="143"/>
  <c r="I159" i="143"/>
  <c r="E159" i="143"/>
  <c r="D160" i="143"/>
  <c r="J159" i="143"/>
  <c r="H159" i="143"/>
  <c r="G159" i="143"/>
  <c r="AH34" i="288" l="1"/>
  <c r="AH31" i="288"/>
  <c r="U159" i="143" a="1"/>
  <c r="U159" i="143" s="1"/>
  <c r="Z159" i="143" s="1"/>
  <c r="V159" i="143" a="1"/>
  <c r="V159" i="143" s="1"/>
  <c r="W159" i="143" a="1"/>
  <c r="W159" i="143" s="1"/>
  <c r="AC158" i="143"/>
  <c r="AB158" i="143"/>
  <c r="E160" i="143"/>
  <c r="F160" i="143"/>
  <c r="D161" i="143"/>
  <c r="J160" i="143"/>
  <c r="G160" i="143"/>
  <c r="I160" i="143"/>
  <c r="H160" i="143"/>
  <c r="K159" i="143" a="1"/>
  <c r="K159" i="143" s="1"/>
  <c r="AI21" i="288" s="1" a="1"/>
  <c r="AI21" i="288" s="1"/>
  <c r="N159" i="143"/>
  <c r="Q159" i="143" a="1"/>
  <c r="Q159" i="143" s="1"/>
  <c r="AD157" i="143"/>
  <c r="AE157" i="143" s="1"/>
  <c r="O158" i="143"/>
  <c r="P158" i="143"/>
  <c r="R158" i="143" s="1"/>
  <c r="AA158" i="143" s="1"/>
  <c r="AJ21" i="288" l="1" a="1"/>
  <c r="AJ21" i="288" s="1"/>
  <c r="W160" i="143" a="1"/>
  <c r="W160" i="143" s="1"/>
  <c r="U160" i="143" a="1"/>
  <c r="U160" i="143" s="1"/>
  <c r="Z160" i="143" s="1"/>
  <c r="V160" i="143" a="1"/>
  <c r="V160" i="143" s="1"/>
  <c r="AI34" i="288"/>
  <c r="AI31" i="288"/>
  <c r="AC159" i="143"/>
  <c r="AD158" i="143"/>
  <c r="AE158" i="143" s="1"/>
  <c r="AB159" i="143"/>
  <c r="O159" i="143"/>
  <c r="P159" i="143"/>
  <c r="R159" i="143" s="1"/>
  <c r="AA159" i="143" s="1"/>
  <c r="K160" i="143" a="1"/>
  <c r="K160" i="143" s="1"/>
  <c r="N160" i="143"/>
  <c r="Q160" i="143" a="1"/>
  <c r="Q160" i="143" s="1"/>
  <c r="F161" i="143"/>
  <c r="E161" i="143"/>
  <c r="D162" i="143"/>
  <c r="I161" i="143"/>
  <c r="J161" i="143"/>
  <c r="G161" i="143"/>
  <c r="H161" i="143"/>
  <c r="AJ31" i="288" l="1"/>
  <c r="AJ34" i="288"/>
  <c r="V161" i="143" a="1"/>
  <c r="V161" i="143" s="1"/>
  <c r="W161" i="143" a="1"/>
  <c r="W161" i="143" s="1"/>
  <c r="U161" i="143" a="1"/>
  <c r="U161" i="143" s="1"/>
  <c r="Z161" i="143" s="1"/>
  <c r="AC160" i="143"/>
  <c r="AB160" i="143"/>
  <c r="AD159" i="143"/>
  <c r="AE159" i="143" s="1"/>
  <c r="F162" i="143"/>
  <c r="G162" i="143"/>
  <c r="J162" i="143"/>
  <c r="I162" i="143"/>
  <c r="H162" i="143"/>
  <c r="D163" i="143"/>
  <c r="E162" i="143"/>
  <c r="O160" i="143"/>
  <c r="P160" i="143"/>
  <c r="R160" i="143" s="1"/>
  <c r="AA160" i="143" s="1"/>
  <c r="N161" i="143"/>
  <c r="K161" i="143" a="1"/>
  <c r="K161" i="143" s="1"/>
  <c r="F21" i="287" s="1" a="1"/>
  <c r="F21" i="287" s="1"/>
  <c r="Q161" i="143" a="1"/>
  <c r="Q161" i="143" s="1"/>
  <c r="U162" i="143" l="1" a="1"/>
  <c r="U162" i="143" s="1"/>
  <c r="Z162" i="143" s="1"/>
  <c r="W162" i="143" a="1"/>
  <c r="W162" i="143" s="1"/>
  <c r="V162" i="143" a="1"/>
  <c r="V162" i="143" s="1"/>
  <c r="G21" i="287" a="1"/>
  <c r="G21" i="287" s="1"/>
  <c r="F31" i="287"/>
  <c r="F34" i="287"/>
  <c r="AC161" i="143"/>
  <c r="AD160" i="143"/>
  <c r="AE160" i="143" s="1"/>
  <c r="AA161" i="143"/>
  <c r="AB161" i="143"/>
  <c r="N162" i="143"/>
  <c r="Q162" i="143" a="1"/>
  <c r="Q162" i="143" s="1"/>
  <c r="K162" i="143" a="1"/>
  <c r="K162" i="143" s="1"/>
  <c r="I163" i="143"/>
  <c r="F163" i="143"/>
  <c r="G163" i="143"/>
  <c r="J163" i="143"/>
  <c r="E163" i="143"/>
  <c r="D164" i="143"/>
  <c r="H163" i="143"/>
  <c r="O161" i="143"/>
  <c r="P161" i="143"/>
  <c r="R161" i="143" s="1"/>
  <c r="G34" i="287" l="1"/>
  <c r="G31" i="287"/>
  <c r="W163" i="143" a="1"/>
  <c r="W163" i="143" s="1"/>
  <c r="V163" i="143" a="1"/>
  <c r="V163" i="143" s="1"/>
  <c r="U163" i="143" a="1"/>
  <c r="U163" i="143" s="1"/>
  <c r="Z163" i="143" s="1"/>
  <c r="AC162" i="143"/>
  <c r="AD161" i="143"/>
  <c r="AE161" i="143" s="1"/>
  <c r="F164" i="143"/>
  <c r="D165" i="143"/>
  <c r="E164" i="143"/>
  <c r="J164" i="143"/>
  <c r="H164" i="143"/>
  <c r="G164" i="143"/>
  <c r="I164" i="143"/>
  <c r="AA162" i="143"/>
  <c r="P162" i="143"/>
  <c r="R162" i="143" s="1"/>
  <c r="O162" i="143"/>
  <c r="K163" i="143" a="1"/>
  <c r="K163" i="143" s="1"/>
  <c r="H21" i="287" s="1" a="1"/>
  <c r="H21" i="287" s="1"/>
  <c r="Q163" i="143" a="1"/>
  <c r="Q163" i="143" s="1"/>
  <c r="N163" i="143"/>
  <c r="AB162" i="143"/>
  <c r="V164" i="143" l="1" a="1"/>
  <c r="V164" i="143" s="1"/>
  <c r="W164" i="143" a="1"/>
  <c r="W164" i="143" s="1"/>
  <c r="U164" i="143" a="1"/>
  <c r="U164" i="143" s="1"/>
  <c r="Z164" i="143" s="1"/>
  <c r="H34" i="287"/>
  <c r="H31" i="287"/>
  <c r="AC163" i="143"/>
  <c r="AA163" i="143"/>
  <c r="AB163" i="143"/>
  <c r="AD162" i="143"/>
  <c r="AE162" i="143" s="1"/>
  <c r="Q164" i="143" a="1"/>
  <c r="Q164" i="143" s="1"/>
  <c r="K164" i="143" a="1"/>
  <c r="K164" i="143" s="1"/>
  <c r="I21" i="287" s="1" a="1"/>
  <c r="I21" i="287" s="1"/>
  <c r="N164" i="143"/>
  <c r="F165" i="143"/>
  <c r="G165" i="143"/>
  <c r="D166" i="143"/>
  <c r="J165" i="143"/>
  <c r="H165" i="143"/>
  <c r="I165" i="143"/>
  <c r="E165" i="143"/>
  <c r="P163" i="143"/>
  <c r="R163" i="143" s="1"/>
  <c r="O163" i="143"/>
  <c r="I34" i="287" l="1"/>
  <c r="I31" i="287"/>
  <c r="U165" i="143" a="1"/>
  <c r="U165" i="143" s="1"/>
  <c r="Z165" i="143" s="1"/>
  <c r="W165" i="143" a="1"/>
  <c r="W165" i="143" s="1"/>
  <c r="V165" i="143" a="1"/>
  <c r="V165" i="143" s="1"/>
  <c r="AC164" i="143"/>
  <c r="AB164" i="143"/>
  <c r="AD163" i="143"/>
  <c r="AE163" i="143" s="1"/>
  <c r="AA164" i="143"/>
  <c r="J166" i="143"/>
  <c r="E166" i="143"/>
  <c r="G166" i="143"/>
  <c r="D167" i="143"/>
  <c r="F166" i="143"/>
  <c r="I166" i="143"/>
  <c r="H166" i="143"/>
  <c r="O164" i="143"/>
  <c r="P164" i="143"/>
  <c r="R164" i="143" s="1"/>
  <c r="Q165" i="143" a="1"/>
  <c r="Q165" i="143" s="1"/>
  <c r="N165" i="143"/>
  <c r="K165" i="143" a="1"/>
  <c r="K165" i="143" s="1"/>
  <c r="K21" i="287" l="1" a="1"/>
  <c r="K21" i="287" s="1"/>
  <c r="V166" i="143" a="1"/>
  <c r="V166" i="143" s="1"/>
  <c r="U166" i="143" a="1"/>
  <c r="U166" i="143" s="1"/>
  <c r="Z166" i="143" s="1"/>
  <c r="W166" i="143" a="1"/>
  <c r="W166" i="143" s="1"/>
  <c r="AC165" i="143"/>
  <c r="AD164" i="143"/>
  <c r="AE164" i="143" s="1"/>
  <c r="K166" i="143" a="1"/>
  <c r="K166" i="143" s="1"/>
  <c r="AC166" i="143" s="1"/>
  <c r="Q166" i="143" a="1"/>
  <c r="Q166" i="143" s="1"/>
  <c r="N166" i="143"/>
  <c r="E167" i="143"/>
  <c r="H167" i="143"/>
  <c r="F167" i="143"/>
  <c r="D168" i="143"/>
  <c r="G167" i="143"/>
  <c r="I167" i="143"/>
  <c r="J167" i="143"/>
  <c r="AB165" i="143"/>
  <c r="AA165" i="143"/>
  <c r="P165" i="143"/>
  <c r="R165" i="143" s="1"/>
  <c r="O165" i="143"/>
  <c r="K34" i="287" l="1"/>
  <c r="K31" i="287"/>
  <c r="V167" i="143" a="1"/>
  <c r="V167" i="143" s="1"/>
  <c r="W167" i="143" a="1"/>
  <c r="W167" i="143" s="1"/>
  <c r="U167" i="143" a="1"/>
  <c r="U167" i="143" s="1"/>
  <c r="Z167" i="143" s="1"/>
  <c r="AA166" i="143"/>
  <c r="AB166" i="143"/>
  <c r="D169" i="143"/>
  <c r="E168" i="143"/>
  <c r="I168" i="143"/>
  <c r="J168" i="143"/>
  <c r="H168" i="143"/>
  <c r="G168" i="143"/>
  <c r="F168" i="143"/>
  <c r="AD165" i="143"/>
  <c r="AE165" i="143" s="1"/>
  <c r="P166" i="143"/>
  <c r="R166" i="143" s="1"/>
  <c r="O166" i="143"/>
  <c r="N167" i="143"/>
  <c r="K167" i="143" a="1"/>
  <c r="K167" i="143" s="1"/>
  <c r="Q167" i="143" a="1"/>
  <c r="Q167" i="143" s="1"/>
  <c r="U168" i="143" l="1" a="1"/>
  <c r="U168" i="143" s="1"/>
  <c r="Z168" i="143" s="1"/>
  <c r="W168" i="143" a="1"/>
  <c r="W168" i="143" s="1"/>
  <c r="V168" i="143" a="1"/>
  <c r="V168" i="143" s="1"/>
  <c r="AC167" i="143"/>
  <c r="AD166" i="143"/>
  <c r="AE166" i="143" s="1"/>
  <c r="AB167" i="143"/>
  <c r="K168" i="143" a="1"/>
  <c r="K168" i="143" s="1"/>
  <c r="N168" i="143"/>
  <c r="Q168" i="143" a="1"/>
  <c r="Q168" i="143" s="1"/>
  <c r="AA167" i="143"/>
  <c r="G169" i="143"/>
  <c r="D170" i="143"/>
  <c r="F169" i="143"/>
  <c r="J169" i="143"/>
  <c r="I169" i="143"/>
  <c r="H169" i="143"/>
  <c r="E169" i="143"/>
  <c r="O167" i="143"/>
  <c r="P167" i="143"/>
  <c r="R167" i="143" s="1"/>
  <c r="U169" i="143" l="1" a="1"/>
  <c r="U169" i="143" s="1"/>
  <c r="Z169" i="143" s="1"/>
  <c r="V169" i="143" a="1"/>
  <c r="V169" i="143" s="1"/>
  <c r="W169" i="143" a="1"/>
  <c r="W169" i="143" s="1"/>
  <c r="N21" i="287" a="1"/>
  <c r="N21" i="287" s="1"/>
  <c r="AC168" i="143"/>
  <c r="AD167" i="143"/>
  <c r="AE167" i="143" s="1"/>
  <c r="AA168" i="143"/>
  <c r="AB168" i="143"/>
  <c r="E170" i="143"/>
  <c r="F170" i="143"/>
  <c r="J170" i="143"/>
  <c r="G170" i="143"/>
  <c r="D171" i="143"/>
  <c r="H170" i="143"/>
  <c r="I170" i="143"/>
  <c r="O168" i="143"/>
  <c r="P168" i="143"/>
  <c r="R168" i="143" s="1"/>
  <c r="Q169" i="143" a="1"/>
  <c r="Q169" i="143" s="1"/>
  <c r="N169" i="143"/>
  <c r="K169" i="143" a="1"/>
  <c r="K169" i="143" s="1"/>
  <c r="N31" i="287" l="1"/>
  <c r="N34" i="287"/>
  <c r="O21" i="287" a="1"/>
  <c r="O21" i="287" s="1"/>
  <c r="W170" i="143" a="1"/>
  <c r="W170" i="143" s="1"/>
  <c r="V170" i="143" a="1"/>
  <c r="V170" i="143" s="1"/>
  <c r="U170" i="143" a="1"/>
  <c r="U170" i="143" s="1"/>
  <c r="Z170" i="143" s="1"/>
  <c r="AC169" i="143"/>
  <c r="AD168" i="143"/>
  <c r="AE168" i="143" s="1"/>
  <c r="AB169" i="143"/>
  <c r="P169" i="143"/>
  <c r="R169" i="143" s="1"/>
  <c r="AA169" i="143" s="1"/>
  <c r="O169" i="143"/>
  <c r="Q170" i="143" a="1"/>
  <c r="Q170" i="143" s="1"/>
  <c r="N170" i="143"/>
  <c r="K170" i="143" a="1"/>
  <c r="K170" i="143" s="1"/>
  <c r="G171" i="143"/>
  <c r="H171" i="143"/>
  <c r="I171" i="143"/>
  <c r="F171" i="143"/>
  <c r="E171" i="143"/>
  <c r="J171" i="143"/>
  <c r="D172" i="143"/>
  <c r="O34" i="287" l="1"/>
  <c r="O31" i="287"/>
  <c r="V171" i="143" a="1"/>
  <c r="V171" i="143" s="1"/>
  <c r="U171" i="143" a="1"/>
  <c r="U171" i="143" s="1"/>
  <c r="Z171" i="143" s="1"/>
  <c r="W171" i="143" a="1"/>
  <c r="W171" i="143" s="1"/>
  <c r="AC170" i="143"/>
  <c r="AB170" i="143"/>
  <c r="AD169" i="143"/>
  <c r="AE169" i="143" s="1"/>
  <c r="AA170" i="143"/>
  <c r="K171" i="143" a="1"/>
  <c r="K171" i="143" s="1"/>
  <c r="N171" i="143"/>
  <c r="Q171" i="143" a="1"/>
  <c r="Q171" i="143" s="1"/>
  <c r="P170" i="143"/>
  <c r="R170" i="143" s="1"/>
  <c r="O170" i="143"/>
  <c r="J172" i="143"/>
  <c r="G172" i="143"/>
  <c r="F172" i="143"/>
  <c r="E172" i="143"/>
  <c r="D173" i="143"/>
  <c r="H172" i="143"/>
  <c r="I172" i="143"/>
  <c r="W172" i="143" l="1" a="1"/>
  <c r="W172" i="143" s="1"/>
  <c r="V172" i="143" a="1"/>
  <c r="V172" i="143" s="1"/>
  <c r="U172" i="143" a="1"/>
  <c r="U172" i="143" s="1"/>
  <c r="Z172" i="143" s="1"/>
  <c r="AC171" i="143"/>
  <c r="AA171" i="143"/>
  <c r="AD170" i="143"/>
  <c r="AE170" i="143" s="1"/>
  <c r="AB171" i="143"/>
  <c r="F173" i="143"/>
  <c r="E173" i="143"/>
  <c r="J173" i="143"/>
  <c r="G173" i="143"/>
  <c r="H173" i="143"/>
  <c r="D174" i="143"/>
  <c r="I173" i="143"/>
  <c r="Q172" i="143" a="1"/>
  <c r="Q172" i="143" s="1"/>
  <c r="N172" i="143"/>
  <c r="K172" i="143" a="1"/>
  <c r="K172" i="143" s="1"/>
  <c r="P171" i="143"/>
  <c r="R171" i="143" s="1"/>
  <c r="O171" i="143"/>
  <c r="W173" i="143" l="1" a="1"/>
  <c r="W173" i="143" s="1"/>
  <c r="V173" i="143" a="1"/>
  <c r="V173" i="143" s="1"/>
  <c r="U173" i="143" a="1"/>
  <c r="U173" i="143" s="1"/>
  <c r="Z173" i="143" s="1"/>
  <c r="AC172" i="143"/>
  <c r="AD171" i="143"/>
  <c r="AE171" i="143" s="1"/>
  <c r="AB172" i="143"/>
  <c r="AA172" i="143"/>
  <c r="O172" i="143"/>
  <c r="P172" i="143"/>
  <c r="R172" i="143" s="1"/>
  <c r="J174" i="143"/>
  <c r="I174" i="143"/>
  <c r="F174" i="143"/>
  <c r="E174" i="143"/>
  <c r="G174" i="143"/>
  <c r="H174" i="143"/>
  <c r="D175" i="143"/>
  <c r="Q173" i="143" a="1"/>
  <c r="Q173" i="143" s="1"/>
  <c r="N173" i="143"/>
  <c r="K173" i="143" a="1"/>
  <c r="K173" i="143" s="1"/>
  <c r="R21" i="287" s="1" a="1"/>
  <c r="R21" i="287" s="1"/>
  <c r="W174" i="143" l="1" a="1"/>
  <c r="W174" i="143" s="1"/>
  <c r="V174" i="143" a="1"/>
  <c r="V174" i="143" s="1"/>
  <c r="U174" i="143" a="1"/>
  <c r="U174" i="143" s="1"/>
  <c r="Z174" i="143" s="1"/>
  <c r="R31" i="287"/>
  <c r="R34" i="287"/>
  <c r="AC173" i="143"/>
  <c r="AA173" i="143"/>
  <c r="AB173" i="143"/>
  <c r="Q174" i="143" a="1"/>
  <c r="Q174" i="143" s="1"/>
  <c r="K174" i="143" a="1"/>
  <c r="K174" i="143" s="1"/>
  <c r="N174" i="143"/>
  <c r="I175" i="143"/>
  <c r="J175" i="143"/>
  <c r="D176" i="143"/>
  <c r="H175" i="143"/>
  <c r="F175" i="143"/>
  <c r="E175" i="143"/>
  <c r="G175" i="143"/>
  <c r="AD172" i="143"/>
  <c r="AE172" i="143" s="1"/>
  <c r="P173" i="143"/>
  <c r="R173" i="143" s="1"/>
  <c r="O173" i="143"/>
  <c r="V175" i="143" l="1" a="1"/>
  <c r="V175" i="143" s="1"/>
  <c r="U175" i="143" a="1"/>
  <c r="U175" i="143" s="1"/>
  <c r="Z175" i="143" s="1"/>
  <c r="W175" i="143" a="1"/>
  <c r="W175" i="143" s="1"/>
  <c r="AC174" i="143"/>
  <c r="AD173" i="143"/>
  <c r="AE173" i="143" s="1"/>
  <c r="AB174" i="143"/>
  <c r="G176" i="143"/>
  <c r="I176" i="143"/>
  <c r="H176" i="143"/>
  <c r="J176" i="143"/>
  <c r="E176" i="143"/>
  <c r="F176" i="143"/>
  <c r="D177" i="143"/>
  <c r="Q175" i="143" a="1"/>
  <c r="Q175" i="143" s="1"/>
  <c r="N175" i="143"/>
  <c r="K175" i="143" a="1"/>
  <c r="K175" i="143" s="1"/>
  <c r="T21" i="287" s="1" a="1"/>
  <c r="T21" i="287" s="1"/>
  <c r="O174" i="143"/>
  <c r="P174" i="143"/>
  <c r="R174" i="143" s="1"/>
  <c r="AA174" i="143"/>
  <c r="W176" i="143" l="1" a="1"/>
  <c r="W176" i="143" s="1"/>
  <c r="V176" i="143" a="1"/>
  <c r="V176" i="143" s="1"/>
  <c r="U176" i="143" a="1"/>
  <c r="U176" i="143" s="1"/>
  <c r="Z176" i="143" s="1"/>
  <c r="U21" i="287" a="1"/>
  <c r="U21" i="287" s="1"/>
  <c r="T34" i="287"/>
  <c r="T31" i="287"/>
  <c r="AC175" i="143"/>
  <c r="AA175" i="143"/>
  <c r="AB175" i="143"/>
  <c r="AD174" i="143"/>
  <c r="AE174" i="143" s="1"/>
  <c r="P175" i="143"/>
  <c r="R175" i="143" s="1"/>
  <c r="O175" i="143"/>
  <c r="Q176" i="143" a="1"/>
  <c r="Q176" i="143" s="1"/>
  <c r="K176" i="143" a="1"/>
  <c r="K176" i="143" s="1"/>
  <c r="N176" i="143"/>
  <c r="E177" i="143"/>
  <c r="D178" i="143"/>
  <c r="I177" i="143"/>
  <c r="H177" i="143"/>
  <c r="J177" i="143"/>
  <c r="G177" i="143"/>
  <c r="F177" i="143"/>
  <c r="U31" i="287" l="1"/>
  <c r="U34" i="287"/>
  <c r="V21" i="287" a="1"/>
  <c r="V21" i="287" s="1"/>
  <c r="W177" i="143" a="1"/>
  <c r="W177" i="143" s="1"/>
  <c r="V177" i="143" a="1"/>
  <c r="V177" i="143" s="1"/>
  <c r="U177" i="143" a="1"/>
  <c r="U177" i="143" s="1"/>
  <c r="Z177" i="143" s="1"/>
  <c r="AC176" i="143"/>
  <c r="AD175" i="143"/>
  <c r="AE175" i="143" s="1"/>
  <c r="AB176" i="143"/>
  <c r="AA176" i="143"/>
  <c r="G178" i="143"/>
  <c r="I178" i="143"/>
  <c r="H178" i="143"/>
  <c r="D179" i="143"/>
  <c r="J178" i="143"/>
  <c r="E178" i="143"/>
  <c r="F178" i="143"/>
  <c r="O176" i="143"/>
  <c r="P176" i="143"/>
  <c r="R176" i="143" s="1"/>
  <c r="K177" i="143" a="1"/>
  <c r="K177" i="143" s="1"/>
  <c r="N177" i="143"/>
  <c r="Q177" i="143" a="1"/>
  <c r="Q177" i="143" s="1"/>
  <c r="V34" i="287" l="1"/>
  <c r="V31" i="287"/>
  <c r="W178" i="143" a="1"/>
  <c r="W178" i="143" s="1"/>
  <c r="V178" i="143" a="1"/>
  <c r="V178" i="143" s="1"/>
  <c r="U178" i="143" a="1"/>
  <c r="U178" i="143" s="1"/>
  <c r="Z178" i="143" s="1"/>
  <c r="W21" i="287" a="1"/>
  <c r="W21" i="287" s="1"/>
  <c r="AC177" i="143"/>
  <c r="AA177" i="143"/>
  <c r="AB177" i="143"/>
  <c r="AD176" i="143"/>
  <c r="AE176" i="143" s="1"/>
  <c r="I179" i="143"/>
  <c r="F179" i="143"/>
  <c r="E179" i="143"/>
  <c r="G179" i="143"/>
  <c r="D180" i="143"/>
  <c r="J179" i="143"/>
  <c r="H179" i="143"/>
  <c r="K178" i="143" a="1"/>
  <c r="K178" i="143" s="1"/>
  <c r="N178" i="143"/>
  <c r="Q178" i="143" a="1"/>
  <c r="Q178" i="143" s="1"/>
  <c r="P177" i="143"/>
  <c r="R177" i="143" s="1"/>
  <c r="O177" i="143"/>
  <c r="W34" i="287" l="1"/>
  <c r="W31" i="287"/>
  <c r="X21" i="287" a="1"/>
  <c r="X21" i="287" s="1"/>
  <c r="V179" i="143" a="1"/>
  <c r="V179" i="143" s="1"/>
  <c r="U179" i="143" a="1"/>
  <c r="U179" i="143" s="1"/>
  <c r="Z179" i="143" s="1"/>
  <c r="W179" i="143" a="1"/>
  <c r="W179" i="143" s="1"/>
  <c r="AC178" i="143"/>
  <c r="AD177" i="143"/>
  <c r="AE177" i="143" s="1"/>
  <c r="AA178" i="143"/>
  <c r="I180" i="143"/>
  <c r="E180" i="143"/>
  <c r="G180" i="143"/>
  <c r="D181" i="143"/>
  <c r="J180" i="143"/>
  <c r="H180" i="143"/>
  <c r="F180" i="143"/>
  <c r="K179" i="143" a="1"/>
  <c r="K179" i="143" s="1"/>
  <c r="N179" i="143"/>
  <c r="Q179" i="143" a="1"/>
  <c r="Q179" i="143" s="1"/>
  <c r="P178" i="143"/>
  <c r="R178" i="143" s="1"/>
  <c r="O178" i="143"/>
  <c r="AB178" i="143"/>
  <c r="X31" i="287" l="1"/>
  <c r="X34" i="287"/>
  <c r="W180" i="143" a="1"/>
  <c r="W180" i="143" s="1"/>
  <c r="V180" i="143" a="1"/>
  <c r="V180" i="143" s="1"/>
  <c r="U180" i="143" a="1"/>
  <c r="U180" i="143" s="1"/>
  <c r="Z180" i="143" s="1"/>
  <c r="AC179" i="143"/>
  <c r="AB179" i="143"/>
  <c r="P179" i="143"/>
  <c r="R179" i="143" s="1"/>
  <c r="O179" i="143"/>
  <c r="AA179" i="143"/>
  <c r="D182" i="143"/>
  <c r="J181" i="143"/>
  <c r="G181" i="143"/>
  <c r="F181" i="143"/>
  <c r="I181" i="143"/>
  <c r="E181" i="143"/>
  <c r="H181" i="143"/>
  <c r="N180" i="143"/>
  <c r="Q180" i="143" a="1"/>
  <c r="Q180" i="143" s="1"/>
  <c r="K180" i="143" a="1"/>
  <c r="K180" i="143" s="1"/>
  <c r="Y21" i="287" s="1" a="1"/>
  <c r="Y21" i="287" s="1"/>
  <c r="AD178" i="143"/>
  <c r="AE178" i="143" s="1"/>
  <c r="Z21" i="287" l="1" a="1"/>
  <c r="Z21" i="287" s="1"/>
  <c r="W181" i="143" a="1"/>
  <c r="W181" i="143" s="1"/>
  <c r="V181" i="143" a="1"/>
  <c r="V181" i="143" s="1"/>
  <c r="U181" i="143" a="1"/>
  <c r="U181" i="143" s="1"/>
  <c r="Z181" i="143" s="1"/>
  <c r="Y31" i="287"/>
  <c r="Y34" i="287"/>
  <c r="AC180" i="143"/>
  <c r="AB180" i="143"/>
  <c r="AD179" i="143"/>
  <c r="AE179" i="143" s="1"/>
  <c r="P180" i="143"/>
  <c r="R180" i="143" s="1"/>
  <c r="AA180" i="143" s="1"/>
  <c r="O180" i="143"/>
  <c r="Q181" i="143" a="1"/>
  <c r="Q181" i="143" s="1"/>
  <c r="N181" i="143"/>
  <c r="K181" i="143" a="1"/>
  <c r="K181" i="143" s="1"/>
  <c r="D183" i="143"/>
  <c r="H182" i="143"/>
  <c r="E182" i="143"/>
  <c r="G182" i="143"/>
  <c r="J182" i="143"/>
  <c r="I182" i="143"/>
  <c r="F182" i="143"/>
  <c r="Z31" i="287" l="1"/>
  <c r="Z34" i="287"/>
  <c r="W182" i="143" a="1"/>
  <c r="W182" i="143" s="1"/>
  <c r="V182" i="143" a="1"/>
  <c r="V182" i="143" s="1"/>
  <c r="U182" i="143" a="1"/>
  <c r="U182" i="143" s="1"/>
  <c r="Z182" i="143" s="1"/>
  <c r="AC181" i="143"/>
  <c r="AD180" i="143"/>
  <c r="AE180" i="143" s="1"/>
  <c r="P181" i="143"/>
  <c r="R181" i="143" s="1"/>
  <c r="AA181" i="143" s="1"/>
  <c r="O181" i="143"/>
  <c r="K182" i="143" a="1"/>
  <c r="K182" i="143" s="1"/>
  <c r="AA21" i="287" s="1" a="1"/>
  <c r="AA21" i="287" s="1"/>
  <c r="Q182" i="143" a="1"/>
  <c r="Q182" i="143" s="1"/>
  <c r="N182" i="143"/>
  <c r="G183" i="143"/>
  <c r="E183" i="143"/>
  <c r="J183" i="143"/>
  <c r="I183" i="143"/>
  <c r="F183" i="143"/>
  <c r="D184" i="143"/>
  <c r="H183" i="143"/>
  <c r="AB181" i="143"/>
  <c r="AA31" i="287" l="1"/>
  <c r="AA34" i="287"/>
  <c r="W183" i="143" a="1"/>
  <c r="W183" i="143" s="1"/>
  <c r="V183" i="143" a="1"/>
  <c r="V183" i="143" s="1"/>
  <c r="U183" i="143" a="1"/>
  <c r="U183" i="143" s="1"/>
  <c r="Z183" i="143" s="1"/>
  <c r="AC182" i="143"/>
  <c r="AD181" i="143"/>
  <c r="AE181" i="143" s="1"/>
  <c r="AB182" i="143"/>
  <c r="O182" i="143"/>
  <c r="P182" i="143"/>
  <c r="R182" i="143" s="1"/>
  <c r="AA182" i="143" s="1"/>
  <c r="N183" i="143"/>
  <c r="Q183" i="143" a="1"/>
  <c r="Q183" i="143" s="1"/>
  <c r="K183" i="143" a="1"/>
  <c r="K183" i="143" s="1"/>
  <c r="H184" i="143"/>
  <c r="G184" i="143"/>
  <c r="E184" i="143"/>
  <c r="I184" i="143"/>
  <c r="J184" i="143"/>
  <c r="F184" i="143"/>
  <c r="D185" i="143"/>
  <c r="W184" i="143" l="1" a="1"/>
  <c r="W184" i="143" s="1"/>
  <c r="V184" i="143" a="1"/>
  <c r="V184" i="143" s="1"/>
  <c r="U184" i="143" a="1"/>
  <c r="U184" i="143" s="1"/>
  <c r="Z184" i="143" s="1"/>
  <c r="AC183" i="143"/>
  <c r="AA183" i="143"/>
  <c r="AB183" i="143"/>
  <c r="AD182" i="143"/>
  <c r="AE182" i="143" s="1"/>
  <c r="I185" i="143"/>
  <c r="E185" i="143"/>
  <c r="G185" i="143"/>
  <c r="D186" i="143"/>
  <c r="H185" i="143"/>
  <c r="J185" i="143"/>
  <c r="F185" i="143"/>
  <c r="N184" i="143"/>
  <c r="Q184" i="143" a="1"/>
  <c r="Q184" i="143" s="1"/>
  <c r="K184" i="143" a="1"/>
  <c r="K184" i="143" s="1"/>
  <c r="AC21" i="287" s="1" a="1"/>
  <c r="AC21" i="287" s="1"/>
  <c r="P183" i="143"/>
  <c r="R183" i="143" s="1"/>
  <c r="O183" i="143"/>
  <c r="AD21" i="287" l="1" a="1"/>
  <c r="AD21" i="287" s="1"/>
  <c r="W185" i="143" a="1"/>
  <c r="W185" i="143" s="1"/>
  <c r="V185" i="143" a="1"/>
  <c r="V185" i="143" s="1"/>
  <c r="U185" i="143" a="1"/>
  <c r="U185" i="143" s="1"/>
  <c r="Z185" i="143" s="1"/>
  <c r="AC31" i="287"/>
  <c r="AC34" i="287"/>
  <c r="AC184" i="143"/>
  <c r="AD183" i="143"/>
  <c r="AE183" i="143" s="1"/>
  <c r="AB184" i="143"/>
  <c r="P184" i="143"/>
  <c r="R184" i="143" s="1"/>
  <c r="O184" i="143"/>
  <c r="AA184" i="143"/>
  <c r="H186" i="143"/>
  <c r="D187" i="143"/>
  <c r="G186" i="143"/>
  <c r="F186" i="143"/>
  <c r="E186" i="143"/>
  <c r="I186" i="143"/>
  <c r="J186" i="143"/>
  <c r="K185" i="143" a="1"/>
  <c r="K185" i="143" s="1"/>
  <c r="N185" i="143"/>
  <c r="Q185" i="143" a="1"/>
  <c r="Q185" i="143" s="1"/>
  <c r="AD31" i="287" l="1"/>
  <c r="AD34" i="287"/>
  <c r="U186" i="143" a="1"/>
  <c r="U186" i="143" s="1"/>
  <c r="Z186" i="143" s="1"/>
  <c r="W186" i="143" a="1"/>
  <c r="W186" i="143" s="1"/>
  <c r="V186" i="143" a="1"/>
  <c r="V186" i="143" s="1"/>
  <c r="AC185" i="143"/>
  <c r="AA185" i="143"/>
  <c r="AD184" i="143"/>
  <c r="AE184" i="143" s="1"/>
  <c r="AB185" i="143"/>
  <c r="H187" i="143"/>
  <c r="D188" i="143"/>
  <c r="G187" i="143"/>
  <c r="I187" i="143"/>
  <c r="J187" i="143"/>
  <c r="E187" i="143"/>
  <c r="F187" i="143"/>
  <c r="P185" i="143"/>
  <c r="R185" i="143" s="1"/>
  <c r="O185" i="143"/>
  <c r="K186" i="143" a="1"/>
  <c r="K186" i="143" s="1"/>
  <c r="AE21" i="287" s="1" a="1"/>
  <c r="AE21" i="287" s="1"/>
  <c r="N186" i="143"/>
  <c r="Q186" i="143" a="1"/>
  <c r="Q186" i="143" s="1"/>
  <c r="W187" i="143" l="1" a="1"/>
  <c r="W187" i="143" s="1"/>
  <c r="V187" i="143" a="1"/>
  <c r="V187" i="143" s="1"/>
  <c r="U187" i="143" a="1"/>
  <c r="U187" i="143" s="1"/>
  <c r="Z187" i="143" s="1"/>
  <c r="AE34" i="287"/>
  <c r="AE31" i="287"/>
  <c r="AC186" i="143"/>
  <c r="AB186" i="143"/>
  <c r="AD185" i="143"/>
  <c r="AE185" i="143" s="1"/>
  <c r="AA186" i="143"/>
  <c r="E188" i="143"/>
  <c r="F188" i="143"/>
  <c r="I188" i="143"/>
  <c r="J188" i="143"/>
  <c r="D189" i="143"/>
  <c r="H188" i="143"/>
  <c r="G188" i="143"/>
  <c r="O186" i="143"/>
  <c r="P186" i="143"/>
  <c r="R186" i="143" s="1"/>
  <c r="K187" i="143" a="1"/>
  <c r="K187" i="143" s="1"/>
  <c r="AF21" i="287" s="1" a="1"/>
  <c r="AF21" i="287" s="1"/>
  <c r="Q187" i="143" a="1"/>
  <c r="Q187" i="143" s="1"/>
  <c r="N187" i="143"/>
  <c r="W188" i="143" l="1" a="1"/>
  <c r="W188" i="143" s="1"/>
  <c r="V188" i="143" a="1"/>
  <c r="V188" i="143" s="1"/>
  <c r="U188" i="143" a="1"/>
  <c r="U188" i="143" s="1"/>
  <c r="Z188" i="143" s="1"/>
  <c r="AF31" i="287"/>
  <c r="AF34" i="287"/>
  <c r="AC187" i="143"/>
  <c r="AB187" i="143"/>
  <c r="AA187" i="143"/>
  <c r="E189" i="143"/>
  <c r="H189" i="143"/>
  <c r="D190" i="143"/>
  <c r="G189" i="143"/>
  <c r="I189" i="143"/>
  <c r="J189" i="143"/>
  <c r="F189" i="143"/>
  <c r="Q188" i="143" a="1"/>
  <c r="Q188" i="143" s="1"/>
  <c r="N188" i="143"/>
  <c r="K188" i="143" a="1"/>
  <c r="K188" i="143" s="1"/>
  <c r="P187" i="143"/>
  <c r="R187" i="143" s="1"/>
  <c r="O187" i="143"/>
  <c r="AD186" i="143"/>
  <c r="AE186" i="143" s="1"/>
  <c r="AH21" i="287" l="1" a="1"/>
  <c r="AH21" i="287" s="1"/>
  <c r="V189" i="143" a="1"/>
  <c r="V189" i="143" s="1"/>
  <c r="U189" i="143" a="1"/>
  <c r="U189" i="143" s="1"/>
  <c r="Z189" i="143" s="1"/>
  <c r="W189" i="143" a="1"/>
  <c r="W189" i="143" s="1"/>
  <c r="AC188" i="143"/>
  <c r="AA188" i="143"/>
  <c r="E190" i="143"/>
  <c r="H190" i="143"/>
  <c r="I190" i="143"/>
  <c r="J190" i="143"/>
  <c r="F190" i="143"/>
  <c r="G190" i="143"/>
  <c r="D191" i="143"/>
  <c r="K189" i="143" a="1"/>
  <c r="K189" i="143" s="1"/>
  <c r="Q189" i="143" a="1"/>
  <c r="Q189" i="143" s="1"/>
  <c r="N189" i="143"/>
  <c r="O188" i="143"/>
  <c r="P188" i="143"/>
  <c r="R188" i="143" s="1"/>
  <c r="AB188" i="143"/>
  <c r="AD187" i="143"/>
  <c r="AE187" i="143" s="1"/>
  <c r="AH34" i="287" l="1"/>
  <c r="AH31" i="287"/>
  <c r="W190" i="143" a="1"/>
  <c r="W190" i="143" s="1"/>
  <c r="V190" i="143" a="1"/>
  <c r="V190" i="143" s="1"/>
  <c r="U190" i="143" a="1"/>
  <c r="U190" i="143" s="1"/>
  <c r="Z190" i="143" s="1"/>
  <c r="AC189" i="143"/>
  <c r="AB189" i="143"/>
  <c r="AD188" i="143"/>
  <c r="AE188" i="143" s="1"/>
  <c r="AA189" i="143"/>
  <c r="P189" i="143"/>
  <c r="R189" i="143" s="1"/>
  <c r="O189" i="143"/>
  <c r="J191" i="143"/>
  <c r="F191" i="143"/>
  <c r="G191" i="143"/>
  <c r="I191" i="143"/>
  <c r="D192" i="143"/>
  <c r="E191" i="143"/>
  <c r="H191" i="143"/>
  <c r="K190" i="143" a="1"/>
  <c r="K190" i="143" s="1"/>
  <c r="AI21" i="287" s="1" a="1"/>
  <c r="AI21" i="287" s="1"/>
  <c r="N190" i="143"/>
  <c r="Q190" i="143" a="1"/>
  <c r="Q190" i="143" s="1"/>
  <c r="F21" i="286" l="1" a="1"/>
  <c r="F21" i="286" s="1"/>
  <c r="W191" i="143" a="1"/>
  <c r="W191" i="143" s="1"/>
  <c r="V191" i="143" a="1"/>
  <c r="V191" i="143" s="1"/>
  <c r="U191" i="143" a="1"/>
  <c r="U191" i="143" s="1"/>
  <c r="Z191" i="143" s="1"/>
  <c r="AI31" i="287"/>
  <c r="AI34" i="287"/>
  <c r="AC190" i="143"/>
  <c r="AA190" i="143"/>
  <c r="AD189" i="143"/>
  <c r="AE189" i="143" s="1"/>
  <c r="AB190" i="143"/>
  <c r="P190" i="143"/>
  <c r="R190" i="143" s="1"/>
  <c r="O190" i="143"/>
  <c r="G192" i="143"/>
  <c r="J192" i="143"/>
  <c r="D193" i="143"/>
  <c r="F192" i="143"/>
  <c r="E192" i="143"/>
  <c r="I192" i="143"/>
  <c r="H192" i="143"/>
  <c r="N191" i="143"/>
  <c r="K191" i="143" a="1"/>
  <c r="K191" i="143" s="1"/>
  <c r="Q191" i="143" a="1"/>
  <c r="Q191" i="143" s="1"/>
  <c r="F31" i="286" l="1"/>
  <c r="F34" i="286"/>
  <c r="W192" i="143" a="1"/>
  <c r="W192" i="143" s="1"/>
  <c r="U192" i="143" a="1"/>
  <c r="U192" i="143" s="1"/>
  <c r="Z192" i="143" s="1"/>
  <c r="V192" i="143" a="1"/>
  <c r="V192" i="143" s="1"/>
  <c r="AC191" i="143"/>
  <c r="AA191" i="143"/>
  <c r="AB191" i="143"/>
  <c r="AD190" i="143"/>
  <c r="AE190" i="143" s="1"/>
  <c r="P191" i="143"/>
  <c r="R191" i="143" s="1"/>
  <c r="O191" i="143"/>
  <c r="K192" i="143" a="1"/>
  <c r="K192" i="143" s="1"/>
  <c r="N192" i="143"/>
  <c r="Q192" i="143" a="1"/>
  <c r="Q192" i="143" s="1"/>
  <c r="I193" i="143"/>
  <c r="J193" i="143"/>
  <c r="F193" i="143"/>
  <c r="H193" i="143"/>
  <c r="E193" i="143"/>
  <c r="G193" i="143"/>
  <c r="D194" i="143"/>
  <c r="W193" i="143" l="1" a="1"/>
  <c r="W193" i="143" s="1"/>
  <c r="V193" i="143" a="1"/>
  <c r="V193" i="143" s="1"/>
  <c r="U193" i="143" a="1"/>
  <c r="U193" i="143" s="1"/>
  <c r="Z193" i="143" s="1"/>
  <c r="AC192" i="143"/>
  <c r="AB192" i="143"/>
  <c r="AD191" i="143"/>
  <c r="AE191" i="143" s="1"/>
  <c r="K193" i="143" a="1"/>
  <c r="K193" i="143" s="1"/>
  <c r="H21" i="286" s="1" a="1"/>
  <c r="H21" i="286" s="1"/>
  <c r="Q193" i="143" a="1"/>
  <c r="Q193" i="143" s="1"/>
  <c r="N193" i="143"/>
  <c r="P192" i="143"/>
  <c r="R192" i="143" s="1"/>
  <c r="O192" i="143"/>
  <c r="AA192" i="143"/>
  <c r="H194" i="143"/>
  <c r="G194" i="143"/>
  <c r="I194" i="143"/>
  <c r="J194" i="143"/>
  <c r="E194" i="143"/>
  <c r="F194" i="143"/>
  <c r="D195" i="143"/>
  <c r="H31" i="286" l="1"/>
  <c r="H34" i="286"/>
  <c r="V194" i="143" a="1"/>
  <c r="V194" i="143" s="1"/>
  <c r="U194" i="143" a="1"/>
  <c r="U194" i="143" s="1"/>
  <c r="Z194" i="143" s="1"/>
  <c r="W194" i="143" a="1"/>
  <c r="W194" i="143" s="1"/>
  <c r="AC193" i="143"/>
  <c r="AA193" i="143"/>
  <c r="AD192" i="143"/>
  <c r="AE192" i="143" s="1"/>
  <c r="AB193" i="143"/>
  <c r="N194" i="143"/>
  <c r="Q194" i="143" a="1"/>
  <c r="Q194" i="143" s="1"/>
  <c r="K194" i="143" a="1"/>
  <c r="K194" i="143" s="1"/>
  <c r="I21" i="286" s="1" a="1"/>
  <c r="I21" i="286" s="1"/>
  <c r="P193" i="143"/>
  <c r="R193" i="143" s="1"/>
  <c r="O193" i="143"/>
  <c r="E195" i="143"/>
  <c r="J195" i="143"/>
  <c r="I195" i="143"/>
  <c r="G195" i="143"/>
  <c r="H195" i="143"/>
  <c r="F195" i="143"/>
  <c r="D196" i="143"/>
  <c r="I31" i="286" l="1"/>
  <c r="I34" i="286"/>
  <c r="V195" i="143" a="1"/>
  <c r="V195" i="143" s="1"/>
  <c r="U195" i="143" a="1"/>
  <c r="U195" i="143" s="1"/>
  <c r="Z195" i="143" s="1"/>
  <c r="W195" i="143" a="1"/>
  <c r="W195" i="143" s="1"/>
  <c r="AC194" i="143"/>
  <c r="AD193" i="143"/>
  <c r="AE193" i="143" s="1"/>
  <c r="AA194" i="143"/>
  <c r="Q195" i="143" a="1"/>
  <c r="Q195" i="143" s="1"/>
  <c r="N195" i="143"/>
  <c r="K195" i="143" a="1"/>
  <c r="K195" i="143" s="1"/>
  <c r="J21" i="286" s="1" a="1"/>
  <c r="J21" i="286" s="1"/>
  <c r="AB194" i="143"/>
  <c r="F196" i="143"/>
  <c r="D197" i="143"/>
  <c r="H196" i="143"/>
  <c r="G196" i="143"/>
  <c r="E196" i="143"/>
  <c r="I196" i="143"/>
  <c r="J196" i="143"/>
  <c r="P194" i="143"/>
  <c r="R194" i="143" s="1"/>
  <c r="O194" i="143"/>
  <c r="J34" i="286" l="1"/>
  <c r="J31" i="286"/>
  <c r="W196" i="143" a="1"/>
  <c r="W196" i="143" s="1"/>
  <c r="U196" i="143" a="1"/>
  <c r="U196" i="143" s="1"/>
  <c r="Z196" i="143" s="1"/>
  <c r="V196" i="143" a="1"/>
  <c r="V196" i="143" s="1"/>
  <c r="AC195" i="143"/>
  <c r="AA195" i="143"/>
  <c r="AD194" i="143"/>
  <c r="AE194" i="143" s="1"/>
  <c r="P195" i="143"/>
  <c r="R195" i="143" s="1"/>
  <c r="O195" i="143"/>
  <c r="K196" i="143" a="1"/>
  <c r="K196" i="143" s="1"/>
  <c r="N196" i="143"/>
  <c r="Q196" i="143" a="1"/>
  <c r="Q196" i="143" s="1"/>
  <c r="G197" i="143"/>
  <c r="F197" i="143"/>
  <c r="E197" i="143"/>
  <c r="I197" i="143"/>
  <c r="D198" i="143"/>
  <c r="J197" i="143"/>
  <c r="H197" i="143"/>
  <c r="AB195" i="143"/>
  <c r="W197" i="143" l="1" a="1"/>
  <c r="W197" i="143" s="1"/>
  <c r="V197" i="143" a="1"/>
  <c r="V197" i="143" s="1"/>
  <c r="U197" i="143" a="1"/>
  <c r="U197" i="143" s="1"/>
  <c r="Z197" i="143" s="1"/>
  <c r="AC196" i="143"/>
  <c r="AA196" i="143"/>
  <c r="AD195" i="143"/>
  <c r="AE195" i="143" s="1"/>
  <c r="I198" i="143"/>
  <c r="H198" i="143"/>
  <c r="E198" i="143"/>
  <c r="G198" i="143"/>
  <c r="F198" i="143"/>
  <c r="D199" i="143"/>
  <c r="J198" i="143"/>
  <c r="N197" i="143"/>
  <c r="K197" i="143" a="1"/>
  <c r="K197" i="143" s="1"/>
  <c r="Q197" i="143" a="1"/>
  <c r="Q197" i="143" s="1"/>
  <c r="P196" i="143"/>
  <c r="R196" i="143" s="1"/>
  <c r="O196" i="143"/>
  <c r="AB196" i="143"/>
  <c r="V198" i="143" l="1" a="1"/>
  <c r="V198" i="143" s="1"/>
  <c r="U198" i="143" a="1"/>
  <c r="U198" i="143" s="1"/>
  <c r="Z198" i="143" s="1"/>
  <c r="M21" i="286" a="1"/>
  <c r="M21" i="286" s="1"/>
  <c r="W198" i="143" a="1"/>
  <c r="W198" i="143" s="1"/>
  <c r="AC197" i="143"/>
  <c r="AA197" i="143"/>
  <c r="AD196" i="143"/>
  <c r="AE196" i="143" s="1"/>
  <c r="AB197" i="143"/>
  <c r="I199" i="143"/>
  <c r="E199" i="143"/>
  <c r="J199" i="143"/>
  <c r="G199" i="143"/>
  <c r="F199" i="143"/>
  <c r="D200" i="143"/>
  <c r="H199" i="143"/>
  <c r="P197" i="143"/>
  <c r="R197" i="143" s="1"/>
  <c r="O197" i="143"/>
  <c r="Q198" i="143" a="1"/>
  <c r="Q198" i="143" s="1"/>
  <c r="N198" i="143"/>
  <c r="K198" i="143" a="1"/>
  <c r="K198" i="143" s="1"/>
  <c r="M31" i="286" l="1"/>
  <c r="M34" i="286"/>
  <c r="W199" i="143" a="1"/>
  <c r="W199" i="143" s="1"/>
  <c r="V199" i="143" a="1"/>
  <c r="V199" i="143" s="1"/>
  <c r="U199" i="143" a="1"/>
  <c r="U199" i="143" s="1"/>
  <c r="Z199" i="143" s="1"/>
  <c r="AC198" i="143"/>
  <c r="AD197" i="143"/>
  <c r="AE197" i="143" s="1"/>
  <c r="AB198" i="143"/>
  <c r="AA198" i="143"/>
  <c r="O198" i="143"/>
  <c r="P198" i="143"/>
  <c r="R198" i="143" s="1"/>
  <c r="I200" i="143"/>
  <c r="D201" i="143"/>
  <c r="G200" i="143"/>
  <c r="E200" i="143"/>
  <c r="J200" i="143"/>
  <c r="H200" i="143"/>
  <c r="F200" i="143"/>
  <c r="N199" i="143"/>
  <c r="K199" i="143" a="1"/>
  <c r="K199" i="143" s="1"/>
  <c r="N21" i="286" s="1" a="1"/>
  <c r="N21" i="286" s="1"/>
  <c r="Q199" i="143" a="1"/>
  <c r="Q199" i="143" s="1"/>
  <c r="O21" i="286" l="1" a="1"/>
  <c r="O21" i="286" s="1"/>
  <c r="W200" i="143" a="1"/>
  <c r="W200" i="143" s="1"/>
  <c r="V200" i="143" a="1"/>
  <c r="V200" i="143" s="1"/>
  <c r="U200" i="143" a="1"/>
  <c r="U200" i="143" s="1"/>
  <c r="Z200" i="143" s="1"/>
  <c r="N34" i="286"/>
  <c r="N31" i="286"/>
  <c r="AC199" i="143"/>
  <c r="AD198" i="143"/>
  <c r="AE198" i="143" s="1"/>
  <c r="AA199" i="143"/>
  <c r="J201" i="143"/>
  <c r="D202" i="143"/>
  <c r="I201" i="143"/>
  <c r="F201" i="143"/>
  <c r="E201" i="143"/>
  <c r="G201" i="143"/>
  <c r="H201" i="143"/>
  <c r="Q200" i="143" a="1"/>
  <c r="Q200" i="143" s="1"/>
  <c r="K200" i="143" a="1"/>
  <c r="K200" i="143" s="1"/>
  <c r="N200" i="143"/>
  <c r="O199" i="143"/>
  <c r="P199" i="143"/>
  <c r="R199" i="143" s="1"/>
  <c r="AB199" i="143"/>
  <c r="O31" i="286" l="1"/>
  <c r="O34" i="286"/>
  <c r="P21" i="286" a="1"/>
  <c r="P21" i="286" s="1"/>
  <c r="W201" i="143" a="1"/>
  <c r="W201" i="143" s="1"/>
  <c r="V201" i="143" a="1"/>
  <c r="V201" i="143" s="1"/>
  <c r="U201" i="143" a="1"/>
  <c r="U201" i="143" s="1"/>
  <c r="Z201" i="143" s="1"/>
  <c r="AC200" i="143"/>
  <c r="AD199" i="143"/>
  <c r="AE199" i="143" s="1"/>
  <c r="H202" i="143"/>
  <c r="E202" i="143"/>
  <c r="J202" i="143"/>
  <c r="G202" i="143"/>
  <c r="D203" i="143"/>
  <c r="F202" i="143"/>
  <c r="I202" i="143"/>
  <c r="AB200" i="143"/>
  <c r="AA200" i="143"/>
  <c r="Q201" i="143" a="1"/>
  <c r="Q201" i="143" s="1"/>
  <c r="K201" i="143" a="1"/>
  <c r="K201" i="143" s="1"/>
  <c r="N201" i="143"/>
  <c r="O200" i="143"/>
  <c r="P200" i="143"/>
  <c r="R200" i="143" s="1"/>
  <c r="P34" i="286" l="1"/>
  <c r="P31" i="286"/>
  <c r="U202" i="143" a="1"/>
  <c r="U202" i="143" s="1"/>
  <c r="Z202" i="143" s="1"/>
  <c r="W202" i="143" a="1"/>
  <c r="W202" i="143" s="1"/>
  <c r="V202" i="143" a="1"/>
  <c r="V202" i="143" s="1"/>
  <c r="Q21" i="286" a="1"/>
  <c r="Q21" i="286" s="1"/>
  <c r="AC201" i="143"/>
  <c r="AD200" i="143"/>
  <c r="AE200" i="143" s="1"/>
  <c r="AB201" i="143"/>
  <c r="K202" i="143" a="1"/>
  <c r="K202" i="143" s="1"/>
  <c r="N202" i="143"/>
  <c r="Q202" i="143" a="1"/>
  <c r="Q202" i="143" s="1"/>
  <c r="F203" i="143"/>
  <c r="D204" i="143"/>
  <c r="H203" i="143"/>
  <c r="J203" i="143"/>
  <c r="E203" i="143"/>
  <c r="G203" i="143"/>
  <c r="I203" i="143"/>
  <c r="O201" i="143"/>
  <c r="P201" i="143"/>
  <c r="R201" i="143" s="1"/>
  <c r="AA201" i="143" s="1"/>
  <c r="Q34" i="286" l="1"/>
  <c r="Q31" i="286"/>
  <c r="V203" i="143" a="1"/>
  <c r="V203" i="143" s="1"/>
  <c r="U203" i="143" a="1"/>
  <c r="U203" i="143" s="1"/>
  <c r="Z203" i="143" s="1"/>
  <c r="W203" i="143" a="1"/>
  <c r="W203" i="143" s="1"/>
  <c r="R21" i="286" a="1"/>
  <c r="R21" i="286" s="1"/>
  <c r="AC202" i="143"/>
  <c r="AD201" i="143"/>
  <c r="AE201" i="143" s="1"/>
  <c r="N203" i="143"/>
  <c r="Q203" i="143" a="1"/>
  <c r="Q203" i="143" s="1"/>
  <c r="K203" i="143" a="1"/>
  <c r="K203" i="143" s="1"/>
  <c r="AB202" i="143"/>
  <c r="P202" i="143"/>
  <c r="R202" i="143" s="1"/>
  <c r="AA202" i="143" s="1"/>
  <c r="O202" i="143"/>
  <c r="I204" i="143"/>
  <c r="D205" i="143"/>
  <c r="J204" i="143"/>
  <c r="F204" i="143"/>
  <c r="G204" i="143"/>
  <c r="H204" i="143"/>
  <c r="E204" i="143"/>
  <c r="R34" i="286" l="1"/>
  <c r="R31" i="286"/>
  <c r="U204" i="143" a="1"/>
  <c r="U204" i="143" s="1"/>
  <c r="Z204" i="143" s="1"/>
  <c r="W204" i="143" a="1"/>
  <c r="W204" i="143" s="1"/>
  <c r="V204" i="143" a="1"/>
  <c r="V204" i="143" s="1"/>
  <c r="S21" i="286" a="1"/>
  <c r="S21" i="286" s="1"/>
  <c r="AC203" i="143"/>
  <c r="AB203" i="143"/>
  <c r="AD202" i="143"/>
  <c r="AE202" i="143" s="1"/>
  <c r="D206" i="143"/>
  <c r="H205" i="143"/>
  <c r="I205" i="143"/>
  <c r="E205" i="143"/>
  <c r="F205" i="143"/>
  <c r="J205" i="143"/>
  <c r="G205" i="143"/>
  <c r="Q204" i="143" a="1"/>
  <c r="Q204" i="143" s="1"/>
  <c r="N204" i="143"/>
  <c r="K204" i="143" a="1"/>
  <c r="K204" i="143" s="1"/>
  <c r="P203" i="143"/>
  <c r="R203" i="143" s="1"/>
  <c r="AA203" i="143" s="1"/>
  <c r="O203" i="143"/>
  <c r="S31" i="286" l="1"/>
  <c r="S34" i="286"/>
  <c r="W205" i="143" a="1"/>
  <c r="W205" i="143" s="1"/>
  <c r="V205" i="143" a="1"/>
  <c r="V205" i="143" s="1"/>
  <c r="U205" i="143" a="1"/>
  <c r="U205" i="143" s="1"/>
  <c r="Z205" i="143" s="1"/>
  <c r="AC204" i="143"/>
  <c r="AD203" i="143"/>
  <c r="AE203" i="143" s="1"/>
  <c r="AB204" i="143"/>
  <c r="AA204" i="143"/>
  <c r="Q205" i="143" a="1"/>
  <c r="Q205" i="143" s="1"/>
  <c r="N205" i="143"/>
  <c r="K205" i="143" a="1"/>
  <c r="K205" i="143" s="1"/>
  <c r="O204" i="143"/>
  <c r="P204" i="143"/>
  <c r="R204" i="143" s="1"/>
  <c r="F206" i="143"/>
  <c r="J206" i="143"/>
  <c r="E206" i="143"/>
  <c r="G206" i="143"/>
  <c r="D207" i="143"/>
  <c r="I206" i="143"/>
  <c r="H206" i="143"/>
  <c r="W206" i="143" l="1" a="1"/>
  <c r="W206" i="143" s="1"/>
  <c r="V206" i="143" a="1"/>
  <c r="V206" i="143" s="1"/>
  <c r="U206" i="143" a="1"/>
  <c r="U206" i="143" s="1"/>
  <c r="Z206" i="143" s="1"/>
  <c r="AC205" i="143"/>
  <c r="AA205" i="143"/>
  <c r="AB205" i="143"/>
  <c r="K206" i="143" a="1"/>
  <c r="K206" i="143" s="1"/>
  <c r="Q206" i="143" a="1"/>
  <c r="Q206" i="143" s="1"/>
  <c r="N206" i="143"/>
  <c r="AD204" i="143"/>
  <c r="AE204" i="143" s="1"/>
  <c r="P205" i="143"/>
  <c r="R205" i="143" s="1"/>
  <c r="O205" i="143"/>
  <c r="E207" i="143"/>
  <c r="J207" i="143"/>
  <c r="H207" i="143"/>
  <c r="F207" i="143"/>
  <c r="D208" i="143"/>
  <c r="G207" i="143"/>
  <c r="I207" i="143"/>
  <c r="V21" i="286" l="1" a="1"/>
  <c r="V21" i="286" s="1"/>
  <c r="W207" i="143" a="1"/>
  <c r="W207" i="143" s="1"/>
  <c r="V207" i="143" a="1"/>
  <c r="V207" i="143" s="1"/>
  <c r="U207" i="143" a="1"/>
  <c r="U207" i="143" s="1"/>
  <c r="Z207" i="143" s="1"/>
  <c r="AC206" i="143"/>
  <c r="AB206" i="143"/>
  <c r="AD205" i="143"/>
  <c r="AE205" i="143" s="1"/>
  <c r="AA206" i="143"/>
  <c r="O206" i="143"/>
  <c r="P206" i="143"/>
  <c r="R206" i="143" s="1"/>
  <c r="K207" i="143" a="1"/>
  <c r="K207" i="143" s="1"/>
  <c r="N207" i="143"/>
  <c r="Q207" i="143" a="1"/>
  <c r="Q207" i="143" s="1"/>
  <c r="J208" i="143"/>
  <c r="E208" i="143"/>
  <c r="H208" i="143"/>
  <c r="F208" i="143"/>
  <c r="I208" i="143"/>
  <c r="G208" i="143"/>
  <c r="D209" i="143"/>
  <c r="V31" i="286" l="1"/>
  <c r="V34" i="286"/>
  <c r="W208" i="143" a="1"/>
  <c r="W208" i="143" s="1"/>
  <c r="V208" i="143" a="1"/>
  <c r="V208" i="143" s="1"/>
  <c r="U208" i="143" a="1"/>
  <c r="U208" i="143" s="1"/>
  <c r="Z208" i="143" s="1"/>
  <c r="AC207" i="143"/>
  <c r="O207" i="143"/>
  <c r="P207" i="143"/>
  <c r="R207" i="143" s="1"/>
  <c r="N208" i="143"/>
  <c r="K208" i="143" a="1"/>
  <c r="K208" i="143" s="1"/>
  <c r="W21" i="286" s="1" a="1"/>
  <c r="W21" i="286" s="1"/>
  <c r="Q208" i="143" a="1"/>
  <c r="Q208" i="143" s="1"/>
  <c r="AA207" i="143"/>
  <c r="H209" i="143"/>
  <c r="E209" i="143"/>
  <c r="G209" i="143"/>
  <c r="I209" i="143"/>
  <c r="F209" i="143"/>
  <c r="J209" i="143"/>
  <c r="D210" i="143"/>
  <c r="AB207" i="143"/>
  <c r="AD206" i="143"/>
  <c r="AE206" i="143" s="1"/>
  <c r="W31" i="286" l="1"/>
  <c r="W34" i="286"/>
  <c r="W209" i="143" a="1"/>
  <c r="W209" i="143" s="1"/>
  <c r="V209" i="143" a="1"/>
  <c r="V209" i="143" s="1"/>
  <c r="U209" i="143" a="1"/>
  <c r="U209" i="143" s="1"/>
  <c r="Z209" i="143" s="1"/>
  <c r="X21" i="286" a="1"/>
  <c r="X21" i="286" s="1"/>
  <c r="AC208" i="143"/>
  <c r="AD207" i="143"/>
  <c r="AE207" i="143" s="1"/>
  <c r="AA208" i="143"/>
  <c r="O208" i="143"/>
  <c r="P208" i="143"/>
  <c r="R208" i="143" s="1"/>
  <c r="K209" i="143" a="1"/>
  <c r="K209" i="143" s="1"/>
  <c r="Q209" i="143" a="1"/>
  <c r="Q209" i="143" s="1"/>
  <c r="N209" i="143"/>
  <c r="J210" i="143"/>
  <c r="H210" i="143"/>
  <c r="D211" i="143"/>
  <c r="E210" i="143"/>
  <c r="I210" i="143"/>
  <c r="G210" i="143"/>
  <c r="F210" i="143"/>
  <c r="AB208" i="143"/>
  <c r="X31" i="286" l="1"/>
  <c r="X34" i="286"/>
  <c r="V210" i="143" a="1"/>
  <c r="V210" i="143" s="1"/>
  <c r="U210" i="143" a="1"/>
  <c r="U210" i="143" s="1"/>
  <c r="Z210" i="143" s="1"/>
  <c r="W210" i="143" a="1"/>
  <c r="W210" i="143" s="1"/>
  <c r="AC209" i="143"/>
  <c r="AA209" i="143"/>
  <c r="AB209" i="143"/>
  <c r="AD208" i="143"/>
  <c r="AE208" i="143" s="1"/>
  <c r="P209" i="143"/>
  <c r="R209" i="143" s="1"/>
  <c r="O209" i="143"/>
  <c r="Q210" i="143" a="1"/>
  <c r="Q210" i="143" s="1"/>
  <c r="K210" i="143" a="1"/>
  <c r="K210" i="143" s="1"/>
  <c r="Y21" i="286" s="1" a="1"/>
  <c r="Y21" i="286" s="1"/>
  <c r="N210" i="143"/>
  <c r="J211" i="143"/>
  <c r="G211" i="143"/>
  <c r="E211" i="143"/>
  <c r="D212" i="143"/>
  <c r="H211" i="143"/>
  <c r="I211" i="143"/>
  <c r="F211" i="143"/>
  <c r="Y31" i="286" l="1"/>
  <c r="Y34" i="286"/>
  <c r="W211" i="143" a="1"/>
  <c r="W211" i="143" s="1"/>
  <c r="V211" i="143" a="1"/>
  <c r="V211" i="143" s="1"/>
  <c r="U211" i="143" a="1"/>
  <c r="U211" i="143" s="1"/>
  <c r="Z211" i="143" s="1"/>
  <c r="AC210" i="143"/>
  <c r="AA210" i="143"/>
  <c r="AD209" i="143"/>
  <c r="AE209" i="143" s="1"/>
  <c r="AB210" i="143"/>
  <c r="E212" i="143"/>
  <c r="I212" i="143"/>
  <c r="G212" i="143"/>
  <c r="H212" i="143"/>
  <c r="D213" i="143"/>
  <c r="J212" i="143"/>
  <c r="F212" i="143"/>
  <c r="K211" i="143" a="1"/>
  <c r="K211" i="143" s="1"/>
  <c r="Q211" i="143" a="1"/>
  <c r="Q211" i="143" s="1"/>
  <c r="N211" i="143"/>
  <c r="P210" i="143"/>
  <c r="R210" i="143" s="1"/>
  <c r="O210" i="143"/>
  <c r="W212" i="143" l="1" a="1"/>
  <c r="W212" i="143" s="1"/>
  <c r="V212" i="143" a="1"/>
  <c r="V212" i="143" s="1"/>
  <c r="U212" i="143" a="1"/>
  <c r="U212" i="143" s="1"/>
  <c r="Z212" i="143" s="1"/>
  <c r="AC211" i="143"/>
  <c r="AA211" i="143"/>
  <c r="AB211" i="143"/>
  <c r="AD210" i="143"/>
  <c r="AE210" i="143" s="1"/>
  <c r="I213" i="143"/>
  <c r="F213" i="143"/>
  <c r="H213" i="143"/>
  <c r="G213" i="143"/>
  <c r="E213" i="143"/>
  <c r="J213" i="143"/>
  <c r="D214" i="143"/>
  <c r="N212" i="143"/>
  <c r="Q212" i="143" a="1"/>
  <c r="Q212" i="143" s="1"/>
  <c r="K212" i="143" a="1"/>
  <c r="K212" i="143" s="1"/>
  <c r="P211" i="143"/>
  <c r="R211" i="143" s="1"/>
  <c r="O211" i="143"/>
  <c r="W213" i="143" l="1" a="1"/>
  <c r="W213" i="143" s="1"/>
  <c r="V213" i="143" a="1"/>
  <c r="V213" i="143" s="1"/>
  <c r="U213" i="143" a="1"/>
  <c r="U213" i="143" s="1"/>
  <c r="Z213" i="143" s="1"/>
  <c r="AC212" i="143"/>
  <c r="AD211" i="143"/>
  <c r="AE211" i="143" s="1"/>
  <c r="AB212" i="143"/>
  <c r="F214" i="143"/>
  <c r="G214" i="143"/>
  <c r="I214" i="143"/>
  <c r="H214" i="143"/>
  <c r="D215" i="143"/>
  <c r="J214" i="143"/>
  <c r="E214" i="143"/>
  <c r="AA212" i="143"/>
  <c r="O212" i="143"/>
  <c r="P212" i="143"/>
  <c r="R212" i="143" s="1"/>
  <c r="N213" i="143"/>
  <c r="K213" i="143" a="1"/>
  <c r="K213" i="143" s="1"/>
  <c r="Q213" i="143" a="1"/>
  <c r="Q213" i="143" s="1"/>
  <c r="U214" i="143" l="1" a="1"/>
  <c r="U214" i="143" s="1"/>
  <c r="Z214" i="143" s="1"/>
  <c r="V214" i="143" a="1"/>
  <c r="V214" i="143" s="1"/>
  <c r="W214" i="143" a="1"/>
  <c r="W214" i="143" s="1"/>
  <c r="AC213" i="143"/>
  <c r="AA213" i="143"/>
  <c r="AB213" i="143"/>
  <c r="AD212" i="143"/>
  <c r="AE212" i="143" s="1"/>
  <c r="F215" i="143"/>
  <c r="H215" i="143"/>
  <c r="D216" i="143"/>
  <c r="I215" i="143"/>
  <c r="E215" i="143"/>
  <c r="G215" i="143"/>
  <c r="J215" i="143"/>
  <c r="Q214" i="143" a="1"/>
  <c r="Q214" i="143" s="1"/>
  <c r="N214" i="143"/>
  <c r="K214" i="143" a="1"/>
  <c r="K214" i="143" s="1"/>
  <c r="AC21" i="286" s="1" a="1"/>
  <c r="AC21" i="286" s="1"/>
  <c r="P213" i="143"/>
  <c r="R213" i="143" s="1"/>
  <c r="O213" i="143"/>
  <c r="AC34" i="286" l="1"/>
  <c r="AC31" i="286"/>
  <c r="W215" i="143" a="1"/>
  <c r="W215" i="143" s="1"/>
  <c r="U215" i="143" a="1"/>
  <c r="U215" i="143" s="1"/>
  <c r="Z215" i="143" s="1"/>
  <c r="V215" i="143" a="1"/>
  <c r="V215" i="143" s="1"/>
  <c r="AC214" i="143"/>
  <c r="AD213" i="143"/>
  <c r="AE213" i="143" s="1"/>
  <c r="G216" i="143"/>
  <c r="J216" i="143"/>
  <c r="E216" i="143"/>
  <c r="I216" i="143"/>
  <c r="F216" i="143"/>
  <c r="H216" i="143"/>
  <c r="D217" i="143"/>
  <c r="AA214" i="143"/>
  <c r="O214" i="143"/>
  <c r="P214" i="143"/>
  <c r="R214" i="143" s="1"/>
  <c r="K215" i="143" a="1"/>
  <c r="K215" i="143" s="1"/>
  <c r="AD21" i="286" s="1" a="1"/>
  <c r="AD21" i="286" s="1"/>
  <c r="Q215" i="143" a="1"/>
  <c r="Q215" i="143" s="1"/>
  <c r="N215" i="143"/>
  <c r="AB214" i="143"/>
  <c r="AD34" i="286" l="1"/>
  <c r="AD31" i="286"/>
  <c r="W216" i="143" a="1"/>
  <c r="W216" i="143" s="1"/>
  <c r="U216" i="143" a="1"/>
  <c r="U216" i="143" s="1"/>
  <c r="Z216" i="143" s="1"/>
  <c r="V216" i="143" a="1"/>
  <c r="V216" i="143" s="1"/>
  <c r="AC215" i="143"/>
  <c r="AA215" i="143"/>
  <c r="AD214" i="143"/>
  <c r="AE214" i="143" s="1"/>
  <c r="H217" i="143"/>
  <c r="G217" i="143"/>
  <c r="D218" i="143"/>
  <c r="J217" i="143"/>
  <c r="F217" i="143"/>
  <c r="I217" i="143"/>
  <c r="E217" i="143"/>
  <c r="N216" i="143"/>
  <c r="Q216" i="143" a="1"/>
  <c r="Q216" i="143" s="1"/>
  <c r="K216" i="143" a="1"/>
  <c r="K216" i="143" s="1"/>
  <c r="AE21" i="286" s="1" a="1"/>
  <c r="AE21" i="286" s="1"/>
  <c r="AB215" i="143"/>
  <c r="O215" i="143"/>
  <c r="P215" i="143"/>
  <c r="R215" i="143" s="1"/>
  <c r="AE31" i="286" l="1"/>
  <c r="AE34" i="286"/>
  <c r="V217" i="143" a="1"/>
  <c r="V217" i="143" s="1"/>
  <c r="W217" i="143" a="1"/>
  <c r="W217" i="143" s="1"/>
  <c r="U217" i="143" a="1"/>
  <c r="U217" i="143" s="1"/>
  <c r="Z217" i="143" s="1"/>
  <c r="AC216" i="143"/>
  <c r="AB216" i="143"/>
  <c r="AA216" i="143"/>
  <c r="O216" i="143"/>
  <c r="P216" i="143"/>
  <c r="R216" i="143" s="1"/>
  <c r="I218" i="143"/>
  <c r="F218" i="143"/>
  <c r="G218" i="143"/>
  <c r="J218" i="143"/>
  <c r="E218" i="143"/>
  <c r="D219" i="143"/>
  <c r="H218" i="143"/>
  <c r="N217" i="143"/>
  <c r="Q217" i="143" a="1"/>
  <c r="Q217" i="143" s="1"/>
  <c r="K217" i="143" a="1"/>
  <c r="K217" i="143" s="1"/>
  <c r="AF21" i="286" s="1" a="1"/>
  <c r="AF21" i="286" s="1"/>
  <c r="AD215" i="143"/>
  <c r="AE215" i="143" s="1"/>
  <c r="AF34" i="286" l="1"/>
  <c r="AF31" i="286"/>
  <c r="V218" i="143" a="1"/>
  <c r="V218" i="143" s="1"/>
  <c r="U218" i="143" a="1"/>
  <c r="U218" i="143" s="1"/>
  <c r="Z218" i="143" s="1"/>
  <c r="W218" i="143" a="1"/>
  <c r="W218" i="143" s="1"/>
  <c r="AC217" i="143"/>
  <c r="AD216" i="143"/>
  <c r="AE216" i="143" s="1"/>
  <c r="AA217" i="143"/>
  <c r="K218" i="143" a="1"/>
  <c r="K218" i="143" s="1"/>
  <c r="AG21" i="286" s="1" a="1"/>
  <c r="AG21" i="286" s="1"/>
  <c r="Q218" i="143" a="1"/>
  <c r="Q218" i="143" s="1"/>
  <c r="N218" i="143"/>
  <c r="P217" i="143"/>
  <c r="R217" i="143" s="1"/>
  <c r="O217" i="143"/>
  <c r="J219" i="143"/>
  <c r="F219" i="143"/>
  <c r="G219" i="143"/>
  <c r="D220" i="143"/>
  <c r="I219" i="143"/>
  <c r="E219" i="143"/>
  <c r="H219" i="143"/>
  <c r="AB217" i="143"/>
  <c r="AG34" i="286" l="1"/>
  <c r="AG31" i="286"/>
  <c r="W219" i="143" a="1"/>
  <c r="W219" i="143" s="1"/>
  <c r="U219" i="143" a="1"/>
  <c r="U219" i="143" s="1"/>
  <c r="Z219" i="143" s="1"/>
  <c r="V219" i="143" a="1"/>
  <c r="V219" i="143" s="1"/>
  <c r="AC218" i="143"/>
  <c r="AA218" i="143"/>
  <c r="AB218" i="143"/>
  <c r="P218" i="143"/>
  <c r="R218" i="143" s="1"/>
  <c r="O218" i="143"/>
  <c r="G220" i="143"/>
  <c r="F220" i="143"/>
  <c r="J220" i="143"/>
  <c r="I220" i="143"/>
  <c r="E220" i="143"/>
  <c r="H220" i="143"/>
  <c r="D221" i="143"/>
  <c r="Q219" i="143" a="1"/>
  <c r="Q219" i="143" s="1"/>
  <c r="K219" i="143" a="1"/>
  <c r="K219" i="143" s="1"/>
  <c r="AH21" i="286" s="1" a="1"/>
  <c r="AH21" i="286" s="1"/>
  <c r="N219" i="143"/>
  <c r="AD217" i="143"/>
  <c r="AE217" i="143" s="1"/>
  <c r="AH31" i="286" l="1"/>
  <c r="AH34" i="286"/>
  <c r="V220" i="143" a="1"/>
  <c r="V220" i="143" s="1"/>
  <c r="U220" i="143" a="1"/>
  <c r="U220" i="143" s="1"/>
  <c r="Z220" i="143" s="1"/>
  <c r="W220" i="143" a="1"/>
  <c r="W220" i="143" s="1"/>
  <c r="AC219" i="143"/>
  <c r="AA219" i="143"/>
  <c r="AD218" i="143"/>
  <c r="AE218" i="143" s="1"/>
  <c r="AB219" i="143"/>
  <c r="E221" i="143"/>
  <c r="G221" i="143"/>
  <c r="H221" i="143"/>
  <c r="J221" i="143"/>
  <c r="I221" i="143"/>
  <c r="F221" i="143"/>
  <c r="D222" i="143"/>
  <c r="K220" i="143" a="1"/>
  <c r="K220" i="143" s="1"/>
  <c r="Q220" i="143" a="1"/>
  <c r="Q220" i="143" s="1"/>
  <c r="N220" i="143"/>
  <c r="O219" i="143"/>
  <c r="P219" i="143"/>
  <c r="R219" i="143" s="1"/>
  <c r="W221" i="143" l="1" a="1"/>
  <c r="W221" i="143" s="1"/>
  <c r="V221" i="143" a="1"/>
  <c r="V221" i="143" s="1"/>
  <c r="U221" i="143" a="1"/>
  <c r="U221" i="143" s="1"/>
  <c r="Z221" i="143" s="1"/>
  <c r="AC220" i="143"/>
  <c r="AB220" i="143"/>
  <c r="AD219" i="143"/>
  <c r="AE219" i="143" s="1"/>
  <c r="H222" i="143"/>
  <c r="F222" i="143"/>
  <c r="G222" i="143"/>
  <c r="E222" i="143"/>
  <c r="J222" i="143"/>
  <c r="I222" i="143"/>
  <c r="D223" i="143"/>
  <c r="K221" i="143" a="1"/>
  <c r="K221" i="143" s="1"/>
  <c r="AJ21" i="286" s="1" a="1"/>
  <c r="AJ21" i="286" s="1"/>
  <c r="N221" i="143"/>
  <c r="Q221" i="143" a="1"/>
  <c r="Q221" i="143" s="1"/>
  <c r="O220" i="143"/>
  <c r="P220" i="143"/>
  <c r="R220" i="143" s="1"/>
  <c r="AA220" i="143" s="1"/>
  <c r="W222" i="143" l="1" a="1"/>
  <c r="W222" i="143" s="1"/>
  <c r="U222" i="143" a="1"/>
  <c r="U222" i="143" s="1"/>
  <c r="Z222" i="143" s="1"/>
  <c r="V222" i="143" a="1"/>
  <c r="V222" i="143" s="1"/>
  <c r="AJ34" i="286"/>
  <c r="AJ31" i="286"/>
  <c r="AC221" i="143"/>
  <c r="AD220" i="143"/>
  <c r="AE220" i="143" s="1"/>
  <c r="P221" i="143"/>
  <c r="R221" i="143" s="1"/>
  <c r="AA221" i="143" s="1"/>
  <c r="O221" i="143"/>
  <c r="AB221" i="143"/>
  <c r="F223" i="143"/>
  <c r="I223" i="143"/>
  <c r="E223" i="143"/>
  <c r="J223" i="143"/>
  <c r="D224" i="143"/>
  <c r="G223" i="143"/>
  <c r="H223" i="143"/>
  <c r="K222" i="143" a="1"/>
  <c r="K222" i="143" s="1"/>
  <c r="F21" i="285" s="1" a="1"/>
  <c r="F21" i="285" s="1"/>
  <c r="N222" i="143"/>
  <c r="Q222" i="143" a="1"/>
  <c r="Q222" i="143" s="1"/>
  <c r="F31" i="285" l="1"/>
  <c r="F34" i="285"/>
  <c r="V223" i="143" a="1"/>
  <c r="V223" i="143" s="1"/>
  <c r="W223" i="143" a="1"/>
  <c r="W223" i="143" s="1"/>
  <c r="U223" i="143" a="1"/>
  <c r="U223" i="143" s="1"/>
  <c r="Z223" i="143" s="1"/>
  <c r="AC222" i="143"/>
  <c r="AD221" i="143"/>
  <c r="AE221" i="143" s="1"/>
  <c r="K223" i="143" a="1"/>
  <c r="K223" i="143" s="1"/>
  <c r="G21" i="285" s="1" a="1"/>
  <c r="G21" i="285" s="1"/>
  <c r="N223" i="143"/>
  <c r="Q223" i="143" a="1"/>
  <c r="Q223" i="143" s="1"/>
  <c r="P222" i="143"/>
  <c r="R222" i="143" s="1"/>
  <c r="AA222" i="143" s="1"/>
  <c r="O222" i="143"/>
  <c r="H224" i="143"/>
  <c r="J224" i="143"/>
  <c r="F224" i="143"/>
  <c r="I224" i="143"/>
  <c r="G224" i="143"/>
  <c r="D225" i="143"/>
  <c r="E224" i="143"/>
  <c r="AB222" i="143"/>
  <c r="G34" i="285" l="1"/>
  <c r="G31" i="285"/>
  <c r="U224" i="143" a="1"/>
  <c r="U224" i="143" s="1"/>
  <c r="Z224" i="143" s="1"/>
  <c r="W224" i="143" a="1"/>
  <c r="W224" i="143" s="1"/>
  <c r="V224" i="143" a="1"/>
  <c r="V224" i="143" s="1"/>
  <c r="H21" i="285" a="1"/>
  <c r="H21" i="285" s="1"/>
  <c r="AC223" i="143"/>
  <c r="AB223" i="143"/>
  <c r="AD222" i="143"/>
  <c r="AE222" i="143" s="1"/>
  <c r="O223" i="143"/>
  <c r="P223" i="143"/>
  <c r="R223" i="143" s="1"/>
  <c r="AA223" i="143" s="1"/>
  <c r="K224" i="143" a="1"/>
  <c r="K224" i="143" s="1"/>
  <c r="N224" i="143"/>
  <c r="Q224" i="143" a="1"/>
  <c r="Q224" i="143" s="1"/>
  <c r="E225" i="143"/>
  <c r="I225" i="143"/>
  <c r="D226" i="143"/>
  <c r="F225" i="143"/>
  <c r="G225" i="143"/>
  <c r="H225" i="143"/>
  <c r="J225" i="143"/>
  <c r="H34" i="285" l="1"/>
  <c r="H31" i="285"/>
  <c r="I21" i="285" a="1"/>
  <c r="I21" i="285" s="1"/>
  <c r="V225" i="143" a="1"/>
  <c r="V225" i="143" s="1"/>
  <c r="U225" i="143" a="1"/>
  <c r="U225" i="143" s="1"/>
  <c r="Z225" i="143" s="1"/>
  <c r="W225" i="143" a="1"/>
  <c r="W225" i="143" s="1"/>
  <c r="AC224" i="143"/>
  <c r="AD223" i="143"/>
  <c r="AE223" i="143" s="1"/>
  <c r="AB224" i="143"/>
  <c r="AA224" i="143"/>
  <c r="O224" i="143"/>
  <c r="P224" i="143"/>
  <c r="R224" i="143" s="1"/>
  <c r="K225" i="143" a="1"/>
  <c r="K225" i="143" s="1"/>
  <c r="N225" i="143"/>
  <c r="Q225" i="143" a="1"/>
  <c r="Q225" i="143" s="1"/>
  <c r="E226" i="143"/>
  <c r="H226" i="143"/>
  <c r="G226" i="143"/>
  <c r="J226" i="143"/>
  <c r="F226" i="143"/>
  <c r="I226" i="143"/>
  <c r="D227" i="143"/>
  <c r="I31" i="285" l="1"/>
  <c r="I34" i="285"/>
  <c r="V226" i="143" a="1"/>
  <c r="V226" i="143" s="1"/>
  <c r="U226" i="143" a="1"/>
  <c r="U226" i="143" s="1"/>
  <c r="Z226" i="143" s="1"/>
  <c r="W226" i="143" a="1"/>
  <c r="W226" i="143" s="1"/>
  <c r="AC225" i="143"/>
  <c r="AA225" i="143"/>
  <c r="AB225" i="143"/>
  <c r="AD224" i="143"/>
  <c r="AE224" i="143" s="1"/>
  <c r="F227" i="143"/>
  <c r="D228" i="143"/>
  <c r="G227" i="143"/>
  <c r="I227" i="143"/>
  <c r="E227" i="143"/>
  <c r="J227" i="143"/>
  <c r="H227" i="143"/>
  <c r="K226" i="143" a="1"/>
  <c r="K226" i="143" s="1"/>
  <c r="J21" i="285" s="1" a="1"/>
  <c r="J21" i="285" s="1"/>
  <c r="N226" i="143"/>
  <c r="Q226" i="143" a="1"/>
  <c r="Q226" i="143" s="1"/>
  <c r="O225" i="143"/>
  <c r="P225" i="143"/>
  <c r="R225" i="143" s="1"/>
  <c r="U227" i="143" l="1" a="1"/>
  <c r="U227" i="143" s="1"/>
  <c r="Z227" i="143" s="1"/>
  <c r="V227" i="143" a="1"/>
  <c r="V227" i="143" s="1"/>
  <c r="W227" i="143" a="1"/>
  <c r="W227" i="143" s="1"/>
  <c r="J34" i="285"/>
  <c r="J31" i="285"/>
  <c r="AC226" i="143"/>
  <c r="AA226" i="143"/>
  <c r="AD225" i="143"/>
  <c r="AE225" i="143" s="1"/>
  <c r="O226" i="143"/>
  <c r="P226" i="143"/>
  <c r="R226" i="143" s="1"/>
  <c r="I228" i="143"/>
  <c r="E228" i="143"/>
  <c r="G228" i="143"/>
  <c r="J228" i="143"/>
  <c r="D229" i="143"/>
  <c r="F228" i="143"/>
  <c r="H228" i="143"/>
  <c r="AB226" i="143"/>
  <c r="K227" i="143" a="1"/>
  <c r="K227" i="143" s="1"/>
  <c r="K21" i="285" s="1" a="1"/>
  <c r="K21" i="285" s="1"/>
  <c r="Q227" i="143" a="1"/>
  <c r="Q227" i="143" s="1"/>
  <c r="N227" i="143"/>
  <c r="V228" i="143" l="1" a="1"/>
  <c r="V228" i="143" s="1"/>
  <c r="U228" i="143" a="1"/>
  <c r="U228" i="143" s="1"/>
  <c r="Z228" i="143" s="1"/>
  <c r="W228" i="143" a="1"/>
  <c r="W228" i="143" s="1"/>
  <c r="K34" i="285"/>
  <c r="K31" i="285"/>
  <c r="AC227" i="143"/>
  <c r="AA227" i="143"/>
  <c r="AB227" i="143"/>
  <c r="AD226" i="143"/>
  <c r="AE226" i="143" s="1"/>
  <c r="Q228" i="143" a="1"/>
  <c r="Q228" i="143" s="1"/>
  <c r="K228" i="143" a="1"/>
  <c r="K228" i="143" s="1"/>
  <c r="N228" i="143"/>
  <c r="P227" i="143"/>
  <c r="R227" i="143" s="1"/>
  <c r="O227" i="143"/>
  <c r="E229" i="143"/>
  <c r="H229" i="143"/>
  <c r="I229" i="143"/>
  <c r="G229" i="143"/>
  <c r="J229" i="143"/>
  <c r="D230" i="143"/>
  <c r="F229" i="143"/>
  <c r="V229" i="143" l="1" a="1"/>
  <c r="V229" i="143" s="1"/>
  <c r="W229" i="143" a="1"/>
  <c r="W229" i="143" s="1"/>
  <c r="U229" i="143" a="1"/>
  <c r="U229" i="143" s="1"/>
  <c r="Z229" i="143" s="1"/>
  <c r="AC228" i="143"/>
  <c r="AA228" i="143"/>
  <c r="AD227" i="143"/>
  <c r="AE227" i="143" s="1"/>
  <c r="AB228" i="143"/>
  <c r="P228" i="143"/>
  <c r="R228" i="143" s="1"/>
  <c r="O228" i="143"/>
  <c r="Q229" i="143" a="1"/>
  <c r="Q229" i="143" s="1"/>
  <c r="K229" i="143" a="1"/>
  <c r="K229" i="143" s="1"/>
  <c r="N229" i="143"/>
  <c r="I230" i="143"/>
  <c r="G230" i="143"/>
  <c r="H230" i="143"/>
  <c r="E230" i="143"/>
  <c r="J230" i="143"/>
  <c r="F230" i="143"/>
  <c r="D231" i="143"/>
  <c r="U230" i="143" l="1" a="1"/>
  <c r="U230" i="143" s="1"/>
  <c r="Z230" i="143" s="1"/>
  <c r="W230" i="143" a="1"/>
  <c r="W230" i="143" s="1"/>
  <c r="V230" i="143" a="1"/>
  <c r="V230" i="143" s="1"/>
  <c r="AC229" i="143"/>
  <c r="AA229" i="143"/>
  <c r="AD228" i="143"/>
  <c r="AE228" i="143" s="1"/>
  <c r="AB229" i="143"/>
  <c r="O229" i="143"/>
  <c r="P229" i="143"/>
  <c r="R229" i="143" s="1"/>
  <c r="J231" i="143"/>
  <c r="I231" i="143"/>
  <c r="D232" i="143"/>
  <c r="H231" i="143"/>
  <c r="G231" i="143"/>
  <c r="F231" i="143"/>
  <c r="E231" i="143"/>
  <c r="K230" i="143" a="1"/>
  <c r="K230" i="143" s="1"/>
  <c r="N21" i="285" s="1" a="1"/>
  <c r="N21" i="285" s="1"/>
  <c r="N230" i="143"/>
  <c r="Q230" i="143" a="1"/>
  <c r="Q230" i="143" s="1"/>
  <c r="V231" i="143" l="1" a="1"/>
  <c r="V231" i="143" s="1"/>
  <c r="W231" i="143" a="1"/>
  <c r="W231" i="143" s="1"/>
  <c r="U231" i="143" a="1"/>
  <c r="U231" i="143" s="1"/>
  <c r="Z231" i="143" s="1"/>
  <c r="N34" i="285"/>
  <c r="N31" i="285"/>
  <c r="AC230" i="143"/>
  <c r="AA230" i="143"/>
  <c r="AB230" i="143"/>
  <c r="AD229" i="143"/>
  <c r="AE229" i="143" s="1"/>
  <c r="I232" i="143"/>
  <c r="J232" i="143"/>
  <c r="F232" i="143"/>
  <c r="D233" i="143"/>
  <c r="H232" i="143"/>
  <c r="G232" i="143"/>
  <c r="E232" i="143"/>
  <c r="K231" i="143" a="1"/>
  <c r="K231" i="143" s="1"/>
  <c r="N231" i="143"/>
  <c r="Q231" i="143" a="1"/>
  <c r="Q231" i="143" s="1"/>
  <c r="O230" i="143"/>
  <c r="P230" i="143"/>
  <c r="R230" i="143" s="1"/>
  <c r="U232" i="143" l="1" a="1"/>
  <c r="U232" i="143" s="1"/>
  <c r="Z232" i="143" s="1"/>
  <c r="V232" i="143" a="1"/>
  <c r="V232" i="143" s="1"/>
  <c r="W232" i="143" a="1"/>
  <c r="W232" i="143" s="1"/>
  <c r="AC231" i="143"/>
  <c r="AD230" i="143"/>
  <c r="AE230" i="143" s="1"/>
  <c r="AA231" i="143"/>
  <c r="P231" i="143"/>
  <c r="R231" i="143" s="1"/>
  <c r="O231" i="143"/>
  <c r="J233" i="143"/>
  <c r="G233" i="143"/>
  <c r="E233" i="143"/>
  <c r="D234" i="143"/>
  <c r="F233" i="143"/>
  <c r="H233" i="143"/>
  <c r="I233" i="143"/>
  <c r="Q232" i="143" a="1"/>
  <c r="Q232" i="143" s="1"/>
  <c r="K232" i="143" a="1"/>
  <c r="K232" i="143" s="1"/>
  <c r="P21" i="285" s="1" a="1"/>
  <c r="P21" i="285" s="1"/>
  <c r="N232" i="143"/>
  <c r="AB231" i="143"/>
  <c r="V233" i="143" l="1" a="1"/>
  <c r="V233" i="143" s="1"/>
  <c r="U233" i="143" a="1"/>
  <c r="U233" i="143" s="1"/>
  <c r="Z233" i="143" s="1"/>
  <c r="W233" i="143" a="1"/>
  <c r="W233" i="143" s="1"/>
  <c r="P34" i="285"/>
  <c r="P31" i="285"/>
  <c r="AC232" i="143"/>
  <c r="AD231" i="143"/>
  <c r="AE231" i="143" s="1"/>
  <c r="AB232" i="143"/>
  <c r="AA232" i="143"/>
  <c r="Q233" i="143" a="1"/>
  <c r="Q233" i="143" s="1"/>
  <c r="K233" i="143" a="1"/>
  <c r="K233" i="143" s="1"/>
  <c r="Q21" i="285" s="1" a="1"/>
  <c r="Q21" i="285" s="1"/>
  <c r="N233" i="143"/>
  <c r="P232" i="143"/>
  <c r="R232" i="143" s="1"/>
  <c r="O232" i="143"/>
  <c r="J234" i="143"/>
  <c r="F234" i="143"/>
  <c r="H234" i="143"/>
  <c r="D235" i="143"/>
  <c r="G234" i="143"/>
  <c r="E234" i="143"/>
  <c r="I234" i="143"/>
  <c r="Q34" i="285" l="1"/>
  <c r="Q31" i="285"/>
  <c r="U234" i="143" a="1"/>
  <c r="U234" i="143" s="1"/>
  <c r="Z234" i="143" s="1"/>
  <c r="W234" i="143" a="1"/>
  <c r="W234" i="143" s="1"/>
  <c r="V234" i="143" a="1"/>
  <c r="V234" i="143" s="1"/>
  <c r="AC233" i="143"/>
  <c r="AB233" i="143"/>
  <c r="AA233" i="143"/>
  <c r="P233" i="143"/>
  <c r="R233" i="143" s="1"/>
  <c r="O233" i="143"/>
  <c r="N234" i="143"/>
  <c r="K234" i="143" a="1"/>
  <c r="K234" i="143" s="1"/>
  <c r="Q234" i="143" a="1"/>
  <c r="Q234" i="143" s="1"/>
  <c r="I235" i="143"/>
  <c r="F235" i="143"/>
  <c r="H235" i="143"/>
  <c r="E235" i="143"/>
  <c r="J235" i="143"/>
  <c r="G235" i="143"/>
  <c r="D236" i="143"/>
  <c r="AD232" i="143"/>
  <c r="AE232" i="143" s="1"/>
  <c r="W235" i="143" l="1" a="1"/>
  <c r="W235" i="143" s="1"/>
  <c r="U235" i="143" a="1"/>
  <c r="U235" i="143" s="1"/>
  <c r="Z235" i="143" s="1"/>
  <c r="V235" i="143" a="1"/>
  <c r="V235" i="143" s="1"/>
  <c r="AC234" i="143"/>
  <c r="AA234" i="143"/>
  <c r="AD233" i="143"/>
  <c r="AE233" i="143" s="1"/>
  <c r="K235" i="143" a="1"/>
  <c r="K235" i="143" s="1"/>
  <c r="S21" i="285" s="1" a="1"/>
  <c r="S21" i="285" s="1"/>
  <c r="Q235" i="143" a="1"/>
  <c r="Q235" i="143" s="1"/>
  <c r="N235" i="143"/>
  <c r="AB234" i="143"/>
  <c r="I236" i="143"/>
  <c r="G236" i="143"/>
  <c r="D237" i="143"/>
  <c r="J236" i="143"/>
  <c r="F236" i="143"/>
  <c r="H236" i="143"/>
  <c r="E236" i="143"/>
  <c r="P234" i="143"/>
  <c r="R234" i="143" s="1"/>
  <c r="O234" i="143"/>
  <c r="S34" i="285" l="1"/>
  <c r="S31" i="285"/>
  <c r="W236" i="143" a="1"/>
  <c r="W236" i="143" s="1"/>
  <c r="V236" i="143" a="1"/>
  <c r="V236" i="143" s="1"/>
  <c r="U236" i="143" a="1"/>
  <c r="U236" i="143" s="1"/>
  <c r="Z236" i="143" s="1"/>
  <c r="AC235" i="143"/>
  <c r="AB235" i="143"/>
  <c r="AD234" i="143"/>
  <c r="AE234" i="143" s="1"/>
  <c r="O235" i="143"/>
  <c r="P235" i="143"/>
  <c r="R235" i="143" s="1"/>
  <c r="AA235" i="143" s="1"/>
  <c r="H237" i="143"/>
  <c r="I237" i="143"/>
  <c r="F237" i="143"/>
  <c r="G237" i="143"/>
  <c r="D238" i="143"/>
  <c r="E237" i="143"/>
  <c r="J237" i="143"/>
  <c r="N236" i="143"/>
  <c r="K236" i="143" a="1"/>
  <c r="K236" i="143" s="1"/>
  <c r="T21" i="285" s="1" a="1"/>
  <c r="T21" i="285" s="1"/>
  <c r="Q236" i="143" a="1"/>
  <c r="Q236" i="143" s="1"/>
  <c r="U237" i="143" l="1" a="1"/>
  <c r="U237" i="143" s="1"/>
  <c r="Z237" i="143" s="1"/>
  <c r="V237" i="143" a="1"/>
  <c r="V237" i="143" s="1"/>
  <c r="W237" i="143" a="1"/>
  <c r="W237" i="143" s="1"/>
  <c r="U21" i="285" a="1"/>
  <c r="U21" i="285" s="1"/>
  <c r="T34" i="285"/>
  <c r="T31" i="285"/>
  <c r="AC236" i="143"/>
  <c r="AD235" i="143"/>
  <c r="AE235" i="143" s="1"/>
  <c r="AB236" i="143"/>
  <c r="N237" i="143"/>
  <c r="Q237" i="143" a="1"/>
  <c r="Q237" i="143" s="1"/>
  <c r="K237" i="143" a="1"/>
  <c r="K237" i="143" s="1"/>
  <c r="O236" i="143"/>
  <c r="P236" i="143"/>
  <c r="R236" i="143" s="1"/>
  <c r="AA236" i="143" s="1"/>
  <c r="G238" i="143"/>
  <c r="I238" i="143"/>
  <c r="D239" i="143"/>
  <c r="H238" i="143"/>
  <c r="E238" i="143"/>
  <c r="J238" i="143"/>
  <c r="F238" i="143"/>
  <c r="U34" i="285" l="1"/>
  <c r="U31" i="285"/>
  <c r="U238" i="143" a="1"/>
  <c r="U238" i="143" s="1"/>
  <c r="Z238" i="143" s="1"/>
  <c r="W238" i="143" a="1"/>
  <c r="W238" i="143" s="1"/>
  <c r="V238" i="143" a="1"/>
  <c r="V238" i="143" s="1"/>
  <c r="V21" i="285" a="1"/>
  <c r="V21" i="285" s="1"/>
  <c r="AC237" i="143"/>
  <c r="AB237" i="143"/>
  <c r="AD236" i="143"/>
  <c r="AE236" i="143" s="1"/>
  <c r="O237" i="143"/>
  <c r="P237" i="143"/>
  <c r="R237" i="143" s="1"/>
  <c r="AA237" i="143" s="1"/>
  <c r="G239" i="143"/>
  <c r="I239" i="143"/>
  <c r="F239" i="143"/>
  <c r="H239" i="143"/>
  <c r="E239" i="143"/>
  <c r="D240" i="143"/>
  <c r="J239" i="143"/>
  <c r="K238" i="143" a="1"/>
  <c r="K238" i="143" s="1"/>
  <c r="N238" i="143"/>
  <c r="Q238" i="143" a="1"/>
  <c r="Q238" i="143" s="1"/>
  <c r="V34" i="285" l="1"/>
  <c r="V31" i="285"/>
  <c r="U239" i="143" a="1"/>
  <c r="U239" i="143" s="1"/>
  <c r="Z239" i="143" s="1"/>
  <c r="V239" i="143" a="1"/>
  <c r="V239" i="143" s="1"/>
  <c r="W239" i="143" a="1"/>
  <c r="W239" i="143" s="1"/>
  <c r="AC238" i="143"/>
  <c r="AB238" i="143"/>
  <c r="AD237" i="143"/>
  <c r="AE237" i="143" s="1"/>
  <c r="J240" i="143"/>
  <c r="G240" i="143"/>
  <c r="H240" i="143"/>
  <c r="D241" i="143"/>
  <c r="F240" i="143"/>
  <c r="I240" i="143"/>
  <c r="E240" i="143"/>
  <c r="Q239" i="143" a="1"/>
  <c r="Q239" i="143" s="1"/>
  <c r="N239" i="143"/>
  <c r="K239" i="143" a="1"/>
  <c r="K239" i="143" s="1"/>
  <c r="W21" i="285" s="1" a="1"/>
  <c r="W21" i="285" s="1"/>
  <c r="P238" i="143"/>
  <c r="R238" i="143" s="1"/>
  <c r="AA238" i="143" s="1"/>
  <c r="O238" i="143"/>
  <c r="W240" i="143" l="1" a="1"/>
  <c r="W240" i="143" s="1"/>
  <c r="U240" i="143" a="1"/>
  <c r="U240" i="143" s="1"/>
  <c r="Z240" i="143" s="1"/>
  <c r="V240" i="143" a="1"/>
  <c r="V240" i="143" s="1"/>
  <c r="W34" i="285"/>
  <c r="W31" i="285"/>
  <c r="AC239" i="143"/>
  <c r="AA239" i="143"/>
  <c r="AD238" i="143"/>
  <c r="AE238" i="143" s="1"/>
  <c r="Q240" i="143" a="1"/>
  <c r="Q240" i="143" s="1"/>
  <c r="K240" i="143" a="1"/>
  <c r="K240" i="143" s="1"/>
  <c r="X21" i="285" s="1" a="1"/>
  <c r="X21" i="285" s="1"/>
  <c r="N240" i="143"/>
  <c r="AB239" i="143"/>
  <c r="I241" i="143"/>
  <c r="J241" i="143"/>
  <c r="F241" i="143"/>
  <c r="E241" i="143"/>
  <c r="G241" i="143"/>
  <c r="D242" i="143"/>
  <c r="H241" i="143"/>
  <c r="O239" i="143"/>
  <c r="P239" i="143"/>
  <c r="R239" i="143" s="1"/>
  <c r="X34" i="285" l="1"/>
  <c r="X31" i="285"/>
  <c r="Y21" i="285" a="1"/>
  <c r="Y21" i="285" s="1"/>
  <c r="U241" i="143" a="1"/>
  <c r="U241" i="143" s="1"/>
  <c r="Z241" i="143" s="1"/>
  <c r="W241" i="143" a="1"/>
  <c r="W241" i="143" s="1"/>
  <c r="V241" i="143" a="1"/>
  <c r="V241" i="143" s="1"/>
  <c r="AC240" i="143"/>
  <c r="AB240" i="143"/>
  <c r="AA240" i="143"/>
  <c r="AD239" i="143"/>
  <c r="AE239" i="143" s="1"/>
  <c r="E242" i="143"/>
  <c r="F242" i="143"/>
  <c r="I242" i="143"/>
  <c r="G242" i="143"/>
  <c r="J242" i="143"/>
  <c r="D243" i="143"/>
  <c r="H242" i="143"/>
  <c r="N241" i="143"/>
  <c r="Q241" i="143" a="1"/>
  <c r="Q241" i="143" s="1"/>
  <c r="K241" i="143" a="1"/>
  <c r="K241" i="143" s="1"/>
  <c r="P240" i="143"/>
  <c r="R240" i="143" s="1"/>
  <c r="O240" i="143"/>
  <c r="Y34" i="285" l="1"/>
  <c r="Y31" i="285"/>
  <c r="Z21" i="285" a="1"/>
  <c r="Z21" i="285" s="1"/>
  <c r="V242" i="143" a="1"/>
  <c r="V242" i="143" s="1"/>
  <c r="W242" i="143" a="1"/>
  <c r="W242" i="143" s="1"/>
  <c r="U242" i="143" a="1"/>
  <c r="U242" i="143" s="1"/>
  <c r="Z242" i="143" s="1"/>
  <c r="AC241" i="143"/>
  <c r="AA241" i="143"/>
  <c r="P241" i="143"/>
  <c r="R241" i="143" s="1"/>
  <c r="O241" i="143"/>
  <c r="J243" i="143"/>
  <c r="E243" i="143"/>
  <c r="G243" i="143"/>
  <c r="I243" i="143"/>
  <c r="F243" i="143"/>
  <c r="H243" i="143"/>
  <c r="D244" i="143"/>
  <c r="N242" i="143"/>
  <c r="Q242" i="143" a="1"/>
  <c r="Q242" i="143" s="1"/>
  <c r="K242" i="143" a="1"/>
  <c r="K242" i="143" s="1"/>
  <c r="AC242" i="143" s="1"/>
  <c r="AD240" i="143"/>
  <c r="AE240" i="143" s="1"/>
  <c r="AB241" i="143"/>
  <c r="Z34" i="285" l="1"/>
  <c r="Z31" i="285"/>
  <c r="AA21" i="285" a="1"/>
  <c r="AA21" i="285" s="1"/>
  <c r="U243" i="143" a="1"/>
  <c r="U243" i="143" s="1"/>
  <c r="Z243" i="143" s="1"/>
  <c r="V243" i="143" a="1"/>
  <c r="V243" i="143" s="1"/>
  <c r="W243" i="143" a="1"/>
  <c r="W243" i="143" s="1"/>
  <c r="AA242" i="143"/>
  <c r="AD241" i="143"/>
  <c r="AE241" i="143" s="1"/>
  <c r="P242" i="143"/>
  <c r="R242" i="143" s="1"/>
  <c r="O242" i="143"/>
  <c r="E244" i="143"/>
  <c r="J244" i="143"/>
  <c r="I244" i="143"/>
  <c r="F244" i="143"/>
  <c r="G244" i="143"/>
  <c r="D245" i="143"/>
  <c r="H244" i="143"/>
  <c r="N243" i="143"/>
  <c r="Q243" i="143" a="1"/>
  <c r="Q243" i="143" s="1"/>
  <c r="K243" i="143" a="1"/>
  <c r="K243" i="143" s="1"/>
  <c r="AB242" i="143"/>
  <c r="AA34" i="285" l="1"/>
  <c r="AA31" i="285"/>
  <c r="V244" i="143" a="1"/>
  <c r="V244" i="143" s="1"/>
  <c r="W244" i="143" a="1"/>
  <c r="W244" i="143" s="1"/>
  <c r="U244" i="143" a="1"/>
  <c r="U244" i="143" s="1"/>
  <c r="Z244" i="143" s="1"/>
  <c r="AC243" i="143"/>
  <c r="AA243" i="143"/>
  <c r="AD242" i="143"/>
  <c r="AE242" i="143" s="1"/>
  <c r="AB243" i="143"/>
  <c r="F245" i="143"/>
  <c r="H245" i="143"/>
  <c r="D246" i="143"/>
  <c r="E245" i="143"/>
  <c r="J245" i="143"/>
  <c r="I245" i="143"/>
  <c r="G245" i="143"/>
  <c r="O243" i="143"/>
  <c r="P243" i="143"/>
  <c r="R243" i="143" s="1"/>
  <c r="N244" i="143"/>
  <c r="Q244" i="143" a="1"/>
  <c r="Q244" i="143" s="1"/>
  <c r="K244" i="143" a="1"/>
  <c r="K244" i="143" s="1"/>
  <c r="W245" i="143" l="1" a="1"/>
  <c r="W245" i="143" s="1"/>
  <c r="V245" i="143" a="1"/>
  <c r="V245" i="143" s="1"/>
  <c r="U245" i="143" a="1"/>
  <c r="U245" i="143" s="1"/>
  <c r="Z245" i="143" s="1"/>
  <c r="AC21" i="285" a="1"/>
  <c r="AC21" i="285" s="1"/>
  <c r="AC244" i="143"/>
  <c r="AA244" i="143"/>
  <c r="AB244" i="143"/>
  <c r="AD243" i="143"/>
  <c r="AE243" i="143" s="1"/>
  <c r="E246" i="143"/>
  <c r="J246" i="143"/>
  <c r="I246" i="143"/>
  <c r="F246" i="143"/>
  <c r="G246" i="143"/>
  <c r="D247" i="143"/>
  <c r="H246" i="143"/>
  <c r="N245" i="143"/>
  <c r="Q245" i="143" a="1"/>
  <c r="Q245" i="143" s="1"/>
  <c r="K245" i="143" a="1"/>
  <c r="K245" i="143" s="1"/>
  <c r="O244" i="143"/>
  <c r="P244" i="143"/>
  <c r="R244" i="143" s="1"/>
  <c r="AC34" i="285" l="1"/>
  <c r="AC31" i="285"/>
  <c r="AD21" i="285" a="1"/>
  <c r="AD21" i="285" s="1"/>
  <c r="W246" i="143" a="1"/>
  <c r="W246" i="143" s="1"/>
  <c r="V246" i="143" a="1"/>
  <c r="V246" i="143" s="1"/>
  <c r="U246" i="143" a="1"/>
  <c r="U246" i="143" s="1"/>
  <c r="Z246" i="143" s="1"/>
  <c r="AC245" i="143"/>
  <c r="AD244" i="143"/>
  <c r="AE244" i="143" s="1"/>
  <c r="AB245" i="143"/>
  <c r="I247" i="143"/>
  <c r="H247" i="143"/>
  <c r="D248" i="143"/>
  <c r="F247" i="143"/>
  <c r="E247" i="143"/>
  <c r="J247" i="143"/>
  <c r="G247" i="143"/>
  <c r="K246" i="143" a="1"/>
  <c r="K246" i="143" s="1"/>
  <c r="Q246" i="143" a="1"/>
  <c r="Q246" i="143" s="1"/>
  <c r="N246" i="143"/>
  <c r="AA245" i="143"/>
  <c r="O245" i="143"/>
  <c r="P245" i="143"/>
  <c r="R245" i="143" s="1"/>
  <c r="AD34" i="285" l="1"/>
  <c r="AD31" i="285"/>
  <c r="U247" i="143" a="1"/>
  <c r="U247" i="143" s="1"/>
  <c r="Z247" i="143" s="1"/>
  <c r="V247" i="143" a="1"/>
  <c r="V247" i="143" s="1"/>
  <c r="W247" i="143" a="1"/>
  <c r="W247" i="143" s="1"/>
  <c r="AC246" i="143"/>
  <c r="AD245" i="143"/>
  <c r="AE245" i="143" s="1"/>
  <c r="AB246" i="143"/>
  <c r="O246" i="143"/>
  <c r="P246" i="143"/>
  <c r="R246" i="143" s="1"/>
  <c r="AA246" i="143"/>
  <c r="E248" i="143"/>
  <c r="I248" i="143"/>
  <c r="G248" i="143"/>
  <c r="H248" i="143"/>
  <c r="D249" i="143"/>
  <c r="J248" i="143"/>
  <c r="F248" i="143"/>
  <c r="Q247" i="143" a="1"/>
  <c r="Q247" i="143" s="1"/>
  <c r="N247" i="143"/>
  <c r="K247" i="143" a="1"/>
  <c r="K247" i="143" s="1"/>
  <c r="AE21" i="285" s="1" a="1"/>
  <c r="AE21" i="285" s="1"/>
  <c r="V248" i="143" l="1" a="1"/>
  <c r="V248" i="143" s="1"/>
  <c r="U248" i="143" a="1"/>
  <c r="U248" i="143" s="1"/>
  <c r="Z248" i="143" s="1"/>
  <c r="W248" i="143" a="1"/>
  <c r="W248" i="143" s="1"/>
  <c r="AE31" i="285"/>
  <c r="AE34" i="285"/>
  <c r="AC247" i="143"/>
  <c r="AB247" i="143"/>
  <c r="AD246" i="143"/>
  <c r="AE246" i="143" s="1"/>
  <c r="K248" i="143" a="1"/>
  <c r="K248" i="143" s="1"/>
  <c r="AF21" i="285" s="1" a="1"/>
  <c r="AF21" i="285" s="1"/>
  <c r="Q248" i="143" a="1"/>
  <c r="Q248" i="143" s="1"/>
  <c r="N248" i="143"/>
  <c r="AA247" i="143"/>
  <c r="O247" i="143"/>
  <c r="P247" i="143"/>
  <c r="R247" i="143" s="1"/>
  <c r="F249" i="143"/>
  <c r="J249" i="143"/>
  <c r="E249" i="143"/>
  <c r="I249" i="143"/>
  <c r="H249" i="143"/>
  <c r="G249" i="143"/>
  <c r="D250" i="143"/>
  <c r="AF34" i="285" l="1"/>
  <c r="AF31" i="285"/>
  <c r="AG21" i="285" a="1"/>
  <c r="AG21" i="285" s="1"/>
  <c r="V249" i="143" a="1"/>
  <c r="V249" i="143" s="1"/>
  <c r="W249" i="143" a="1"/>
  <c r="W249" i="143" s="1"/>
  <c r="U249" i="143" a="1"/>
  <c r="U249" i="143" s="1"/>
  <c r="Z249" i="143" s="1"/>
  <c r="AC248" i="143"/>
  <c r="AB248" i="143"/>
  <c r="AA248" i="143"/>
  <c r="AD247" i="143"/>
  <c r="AE247" i="143" s="1"/>
  <c r="J250" i="143"/>
  <c r="H250" i="143"/>
  <c r="I250" i="143"/>
  <c r="E250" i="143"/>
  <c r="F250" i="143"/>
  <c r="D251" i="143"/>
  <c r="G250" i="143"/>
  <c r="P248" i="143"/>
  <c r="R248" i="143" s="1"/>
  <c r="O248" i="143"/>
  <c r="K249" i="143" a="1"/>
  <c r="K249" i="143" s="1"/>
  <c r="Q249" i="143" a="1"/>
  <c r="Q249" i="143" s="1"/>
  <c r="N249" i="143"/>
  <c r="AG34" i="285" l="1"/>
  <c r="AG31" i="285"/>
  <c r="V250" i="143" a="1"/>
  <c r="V250" i="143" s="1"/>
  <c r="U250" i="143" a="1"/>
  <c r="U250" i="143" s="1"/>
  <c r="Z250" i="143" s="1"/>
  <c r="W250" i="143" a="1"/>
  <c r="W250" i="143" s="1"/>
  <c r="AH21" i="285" a="1"/>
  <c r="AH21" i="285" s="1"/>
  <c r="AC249" i="143"/>
  <c r="G251" i="143"/>
  <c r="D252" i="143"/>
  <c r="H251" i="143"/>
  <c r="J251" i="143"/>
  <c r="I251" i="143"/>
  <c r="E251" i="143"/>
  <c r="F251" i="143"/>
  <c r="Q250" i="143" a="1"/>
  <c r="Q250" i="143" s="1"/>
  <c r="N250" i="143"/>
  <c r="K250" i="143" a="1"/>
  <c r="K250" i="143" s="1"/>
  <c r="P249" i="143"/>
  <c r="R249" i="143" s="1"/>
  <c r="O249" i="143"/>
  <c r="AD248" i="143"/>
  <c r="AE248" i="143" s="1"/>
  <c r="AA249" i="143"/>
  <c r="AB249" i="143"/>
  <c r="AH34" i="285" l="1"/>
  <c r="AH31" i="285"/>
  <c r="V251" i="143" a="1"/>
  <c r="V251" i="143" s="1"/>
  <c r="U251" i="143" a="1"/>
  <c r="U251" i="143" s="1"/>
  <c r="Z251" i="143" s="1"/>
  <c r="W251" i="143" a="1"/>
  <c r="W251" i="143" s="1"/>
  <c r="AC250" i="143"/>
  <c r="AA250" i="143"/>
  <c r="AB250" i="143"/>
  <c r="O250" i="143"/>
  <c r="P250" i="143"/>
  <c r="R250" i="143" s="1"/>
  <c r="AD249" i="143"/>
  <c r="AE249" i="143" s="1"/>
  <c r="E252" i="143"/>
  <c r="F252" i="143"/>
  <c r="I252" i="143"/>
  <c r="D253" i="143"/>
  <c r="H252" i="143"/>
  <c r="G252" i="143"/>
  <c r="J252" i="143"/>
  <c r="Q251" i="143" a="1"/>
  <c r="Q251" i="143" s="1"/>
  <c r="K251" i="143" a="1"/>
  <c r="K251" i="143" s="1"/>
  <c r="N251" i="143"/>
  <c r="AJ21" i="285" l="1" a="1"/>
  <c r="AJ21" i="285" s="1"/>
  <c r="W252" i="143" a="1"/>
  <c r="W252" i="143" s="1"/>
  <c r="V252" i="143" a="1"/>
  <c r="V252" i="143" s="1"/>
  <c r="U252" i="143" a="1"/>
  <c r="U252" i="143" s="1"/>
  <c r="Z252" i="143" s="1"/>
  <c r="AC251" i="143"/>
  <c r="AD250" i="143"/>
  <c r="AE250" i="143" s="1"/>
  <c r="AB251" i="143"/>
  <c r="O251" i="143"/>
  <c r="P251" i="143"/>
  <c r="R251" i="143" s="1"/>
  <c r="AA251" i="143" s="1"/>
  <c r="K252" i="143" a="1"/>
  <c r="K252" i="143" s="1"/>
  <c r="N252" i="143"/>
  <c r="Q252" i="143" a="1"/>
  <c r="Q252" i="143" s="1"/>
  <c r="F253" i="143"/>
  <c r="J253" i="143"/>
  <c r="E253" i="143"/>
  <c r="D254" i="143"/>
  <c r="I253" i="143"/>
  <c r="G253" i="143"/>
  <c r="H253" i="143"/>
  <c r="AJ31" i="285" l="1"/>
  <c r="AJ34" i="285"/>
  <c r="F21" i="284" a="1"/>
  <c r="F21" i="284" s="1"/>
  <c r="U253" i="143" a="1"/>
  <c r="U253" i="143" s="1"/>
  <c r="Z253" i="143" s="1"/>
  <c r="V253" i="143" a="1"/>
  <c r="V253" i="143" s="1"/>
  <c r="W253" i="143" a="1"/>
  <c r="W253" i="143" s="1"/>
  <c r="AC252" i="143"/>
  <c r="AD251" i="143"/>
  <c r="AE251" i="143" s="1"/>
  <c r="F254" i="143"/>
  <c r="G254" i="143"/>
  <c r="H254" i="143"/>
  <c r="D255" i="143"/>
  <c r="I254" i="143"/>
  <c r="E254" i="143"/>
  <c r="J254" i="143"/>
  <c r="O252" i="143"/>
  <c r="P252" i="143"/>
  <c r="R252" i="143" s="1"/>
  <c r="AA252" i="143" s="1"/>
  <c r="K253" i="143" a="1"/>
  <c r="K253" i="143" s="1"/>
  <c r="Q253" i="143" a="1"/>
  <c r="Q253" i="143" s="1"/>
  <c r="N253" i="143"/>
  <c r="AB252" i="143"/>
  <c r="F31" i="284" l="1"/>
  <c r="F34" i="284"/>
  <c r="U254" i="143" a="1"/>
  <c r="U254" i="143" s="1"/>
  <c r="Z254" i="143" s="1"/>
  <c r="V254" i="143" a="1"/>
  <c r="V254" i="143" s="1"/>
  <c r="W254" i="143" a="1"/>
  <c r="W254" i="143" s="1"/>
  <c r="AC253" i="143"/>
  <c r="AA253" i="143"/>
  <c r="AD252" i="143"/>
  <c r="AE252" i="143" s="1"/>
  <c r="AB253" i="143"/>
  <c r="O253" i="143"/>
  <c r="P253" i="143"/>
  <c r="R253" i="143" s="1"/>
  <c r="K254" i="143" a="1"/>
  <c r="K254" i="143" s="1"/>
  <c r="G21" i="284" s="1" a="1"/>
  <c r="G21" i="284" s="1"/>
  <c r="N254" i="143"/>
  <c r="Q254" i="143" a="1"/>
  <c r="Q254" i="143" s="1"/>
  <c r="G255" i="143"/>
  <c r="I255" i="143"/>
  <c r="F255" i="143"/>
  <c r="E255" i="143"/>
  <c r="H255" i="143"/>
  <c r="J255" i="143"/>
  <c r="D256" i="143"/>
  <c r="G31" i="284" l="1"/>
  <c r="G34" i="284"/>
  <c r="U255" i="143" a="1"/>
  <c r="U255" i="143" s="1"/>
  <c r="Z255" i="143" s="1"/>
  <c r="V255" i="143" a="1"/>
  <c r="V255" i="143" s="1"/>
  <c r="W255" i="143" a="1"/>
  <c r="W255" i="143" s="1"/>
  <c r="AC254" i="143"/>
  <c r="AD253" i="143"/>
  <c r="AE253" i="143" s="1"/>
  <c r="P254" i="143"/>
  <c r="R254" i="143" s="1"/>
  <c r="O254" i="143"/>
  <c r="AA254" i="143"/>
  <c r="N255" i="143"/>
  <c r="Q255" i="143" a="1"/>
  <c r="Q255" i="143" s="1"/>
  <c r="K255" i="143" a="1"/>
  <c r="K255" i="143" s="1"/>
  <c r="H21" i="284" s="1" a="1"/>
  <c r="H21" i="284" s="1"/>
  <c r="J256" i="143"/>
  <c r="E256" i="143"/>
  <c r="G256" i="143"/>
  <c r="I256" i="143"/>
  <c r="F256" i="143"/>
  <c r="D257" i="143"/>
  <c r="H256" i="143"/>
  <c r="AB254" i="143"/>
  <c r="H34" i="284" l="1"/>
  <c r="H31" i="284"/>
  <c r="U256" i="143" a="1"/>
  <c r="U256" i="143" s="1"/>
  <c r="Z256" i="143" s="1"/>
  <c r="V256" i="143" a="1"/>
  <c r="V256" i="143" s="1"/>
  <c r="W256" i="143" a="1"/>
  <c r="W256" i="143" s="1"/>
  <c r="AC255" i="143"/>
  <c r="AA255" i="143"/>
  <c r="AD254" i="143"/>
  <c r="AE254" i="143" s="1"/>
  <c r="P255" i="143"/>
  <c r="R255" i="143" s="1"/>
  <c r="O255" i="143"/>
  <c r="N256" i="143"/>
  <c r="K256" i="143" a="1"/>
  <c r="K256" i="143" s="1"/>
  <c r="I21" i="284" s="1" a="1"/>
  <c r="I21" i="284" s="1"/>
  <c r="Q256" i="143" a="1"/>
  <c r="Q256" i="143" s="1"/>
  <c r="AB255" i="143"/>
  <c r="E257" i="143"/>
  <c r="I257" i="143"/>
  <c r="J257" i="143"/>
  <c r="F257" i="143"/>
  <c r="H257" i="143"/>
  <c r="G257" i="143"/>
  <c r="D258" i="143"/>
  <c r="I31" i="284" l="1"/>
  <c r="I34" i="284"/>
  <c r="W257" i="143" a="1"/>
  <c r="W257" i="143" s="1"/>
  <c r="V257" i="143" a="1"/>
  <c r="V257" i="143" s="1"/>
  <c r="U257" i="143" a="1"/>
  <c r="U257" i="143" s="1"/>
  <c r="Z257" i="143" s="1"/>
  <c r="AC256" i="143"/>
  <c r="AA256" i="143"/>
  <c r="AD255" i="143"/>
  <c r="AE255" i="143" s="1"/>
  <c r="AB256" i="143"/>
  <c r="O256" i="143"/>
  <c r="P256" i="143"/>
  <c r="R256" i="143" s="1"/>
  <c r="D259" i="143"/>
  <c r="H258" i="143"/>
  <c r="F258" i="143"/>
  <c r="I258" i="143"/>
  <c r="J258" i="143"/>
  <c r="G258" i="143"/>
  <c r="E258" i="143"/>
  <c r="N257" i="143"/>
  <c r="Q257" i="143" a="1"/>
  <c r="Q257" i="143" s="1"/>
  <c r="K257" i="143" a="1"/>
  <c r="K257" i="143" s="1"/>
  <c r="J21" i="284" s="1" a="1"/>
  <c r="J21" i="284" s="1"/>
  <c r="W258" i="143" l="1" a="1"/>
  <c r="W258" i="143" s="1"/>
  <c r="V258" i="143" a="1"/>
  <c r="V258" i="143" s="1"/>
  <c r="U258" i="143" a="1"/>
  <c r="U258" i="143" s="1"/>
  <c r="Z258" i="143" s="1"/>
  <c r="K21" i="284" a="1"/>
  <c r="K21" i="284" s="1"/>
  <c r="J31" i="284"/>
  <c r="J34" i="284"/>
  <c r="AC257" i="143"/>
  <c r="AB257" i="143"/>
  <c r="AD256" i="143"/>
  <c r="AE256" i="143" s="1"/>
  <c r="K258" i="143" a="1"/>
  <c r="K258" i="143" s="1"/>
  <c r="N258" i="143"/>
  <c r="Q258" i="143" a="1"/>
  <c r="Q258" i="143" s="1"/>
  <c r="AA257" i="143"/>
  <c r="G259" i="143"/>
  <c r="E259" i="143"/>
  <c r="J259" i="143"/>
  <c r="I259" i="143"/>
  <c r="H259" i="143"/>
  <c r="F259" i="143"/>
  <c r="D260" i="143"/>
  <c r="P257" i="143"/>
  <c r="R257" i="143" s="1"/>
  <c r="O257" i="143"/>
  <c r="K34" i="284" l="1"/>
  <c r="K31" i="284"/>
  <c r="W259" i="143" a="1"/>
  <c r="W259" i="143" s="1"/>
  <c r="V259" i="143" a="1"/>
  <c r="V259" i="143" s="1"/>
  <c r="U259" i="143" a="1"/>
  <c r="U259" i="143" s="1"/>
  <c r="Z259" i="143" s="1"/>
  <c r="AC258" i="143"/>
  <c r="AD257" i="143"/>
  <c r="AE257" i="143" s="1"/>
  <c r="AA258" i="143"/>
  <c r="K259" i="143" a="1"/>
  <c r="K259" i="143" s="1"/>
  <c r="Q259" i="143" a="1"/>
  <c r="Q259" i="143" s="1"/>
  <c r="N259" i="143"/>
  <c r="AB258" i="143"/>
  <c r="P258" i="143"/>
  <c r="R258" i="143" s="1"/>
  <c r="O258" i="143"/>
  <c r="F260" i="143"/>
  <c r="E260" i="143"/>
  <c r="I260" i="143"/>
  <c r="J260" i="143"/>
  <c r="H260" i="143"/>
  <c r="D261" i="143"/>
  <c r="G260" i="143"/>
  <c r="W260" i="143" l="1" a="1"/>
  <c r="W260" i="143" s="1"/>
  <c r="V260" i="143" a="1"/>
  <c r="V260" i="143" s="1"/>
  <c r="U260" i="143" a="1"/>
  <c r="U260" i="143" s="1"/>
  <c r="Z260" i="143" s="1"/>
  <c r="AC259" i="143"/>
  <c r="AD258" i="143"/>
  <c r="AE258" i="143" s="1"/>
  <c r="AA259" i="143"/>
  <c r="AB259" i="143"/>
  <c r="E261" i="143"/>
  <c r="H261" i="143"/>
  <c r="I261" i="143"/>
  <c r="G261" i="143"/>
  <c r="F261" i="143"/>
  <c r="J261" i="143"/>
  <c r="D262" i="143"/>
  <c r="O259" i="143"/>
  <c r="P259" i="143"/>
  <c r="R259" i="143" s="1"/>
  <c r="N260" i="143"/>
  <c r="K260" i="143" a="1"/>
  <c r="K260" i="143" s="1"/>
  <c r="Q260" i="143" a="1"/>
  <c r="Q260" i="143" s="1"/>
  <c r="W261" i="143" l="1" a="1"/>
  <c r="W261" i="143" s="1"/>
  <c r="V261" i="143" a="1"/>
  <c r="V261" i="143" s="1"/>
  <c r="U261" i="143" a="1"/>
  <c r="U261" i="143" s="1"/>
  <c r="Z261" i="143" s="1"/>
  <c r="AC260" i="143"/>
  <c r="AD259" i="143"/>
  <c r="AE259" i="143" s="1"/>
  <c r="AA260" i="143"/>
  <c r="AB260" i="143"/>
  <c r="O260" i="143"/>
  <c r="P260" i="143"/>
  <c r="R260" i="143" s="1"/>
  <c r="F262" i="143"/>
  <c r="G262" i="143"/>
  <c r="E262" i="143"/>
  <c r="H262" i="143"/>
  <c r="D263" i="143"/>
  <c r="I262" i="143"/>
  <c r="J262" i="143"/>
  <c r="K261" i="143" a="1"/>
  <c r="K261" i="143" s="1"/>
  <c r="N21" i="284" s="1" a="1"/>
  <c r="N21" i="284" s="1"/>
  <c r="Q261" i="143" a="1"/>
  <c r="Q261" i="143" s="1"/>
  <c r="N261" i="143"/>
  <c r="O21" i="284" l="1" a="1"/>
  <c r="O21" i="284" s="1"/>
  <c r="W262" i="143" a="1"/>
  <c r="W262" i="143" s="1"/>
  <c r="U262" i="143" a="1"/>
  <c r="U262" i="143" s="1"/>
  <c r="Z262" i="143" s="1"/>
  <c r="V262" i="143" a="1"/>
  <c r="V262" i="143" s="1"/>
  <c r="N34" i="284"/>
  <c r="N31" i="284"/>
  <c r="AC261" i="143"/>
  <c r="AD260" i="143"/>
  <c r="AE260" i="143" s="1"/>
  <c r="AA261" i="143"/>
  <c r="AB261" i="143"/>
  <c r="P261" i="143"/>
  <c r="R261" i="143" s="1"/>
  <c r="O261" i="143"/>
  <c r="Q262" i="143" a="1"/>
  <c r="Q262" i="143" s="1"/>
  <c r="N262" i="143"/>
  <c r="K262" i="143" a="1"/>
  <c r="K262" i="143" s="1"/>
  <c r="I263" i="143"/>
  <c r="J263" i="143"/>
  <c r="G263" i="143"/>
  <c r="H263" i="143"/>
  <c r="D264" i="143"/>
  <c r="F263" i="143"/>
  <c r="E263" i="143"/>
  <c r="O34" i="284" l="1"/>
  <c r="O31" i="284"/>
  <c r="W263" i="143" a="1"/>
  <c r="W263" i="143" s="1"/>
  <c r="V263" i="143" a="1"/>
  <c r="V263" i="143" s="1"/>
  <c r="U263" i="143" a="1"/>
  <c r="U263" i="143" s="1"/>
  <c r="Z263" i="143" s="1"/>
  <c r="P21" i="284" a="1"/>
  <c r="P21" i="284" s="1"/>
  <c r="AC262" i="143"/>
  <c r="AD261" i="143"/>
  <c r="AE261" i="143" s="1"/>
  <c r="F264" i="143"/>
  <c r="J264" i="143"/>
  <c r="G264" i="143"/>
  <c r="D265" i="143"/>
  <c r="H264" i="143"/>
  <c r="E264" i="143"/>
  <c r="I264" i="143"/>
  <c r="O262" i="143"/>
  <c r="P262" i="143"/>
  <c r="R262" i="143" s="1"/>
  <c r="Q263" i="143" a="1"/>
  <c r="Q263" i="143" s="1"/>
  <c r="N263" i="143"/>
  <c r="K263" i="143" a="1"/>
  <c r="K263" i="143" s="1"/>
  <c r="AA262" i="143"/>
  <c r="AB262" i="143"/>
  <c r="P31" i="284" l="1"/>
  <c r="P34" i="284"/>
  <c r="U264" i="143" a="1"/>
  <c r="U264" i="143" s="1"/>
  <c r="Z264" i="143" s="1"/>
  <c r="V264" i="143" a="1"/>
  <c r="V264" i="143" s="1"/>
  <c r="W264" i="143" a="1"/>
  <c r="W264" i="143" s="1"/>
  <c r="Q21" i="284" a="1"/>
  <c r="Q21" i="284" s="1"/>
  <c r="AC263" i="143"/>
  <c r="AA263" i="143"/>
  <c r="AB263" i="143"/>
  <c r="O263" i="143"/>
  <c r="P263" i="143"/>
  <c r="R263" i="143" s="1"/>
  <c r="AD262" i="143"/>
  <c r="AE262" i="143" s="1"/>
  <c r="Q264" i="143" a="1"/>
  <c r="Q264" i="143" s="1"/>
  <c r="K264" i="143" a="1"/>
  <c r="K264" i="143" s="1"/>
  <c r="N264" i="143"/>
  <c r="I265" i="143"/>
  <c r="E265" i="143"/>
  <c r="F265" i="143"/>
  <c r="D266" i="143"/>
  <c r="H265" i="143"/>
  <c r="J265" i="143"/>
  <c r="G265" i="143"/>
  <c r="Q31" i="284" l="1"/>
  <c r="Q34" i="284"/>
  <c r="R21" i="284" a="1"/>
  <c r="R21" i="284" s="1"/>
  <c r="W265" i="143" a="1"/>
  <c r="W265" i="143" s="1"/>
  <c r="V265" i="143" a="1"/>
  <c r="V265" i="143" s="1"/>
  <c r="U265" i="143" a="1"/>
  <c r="U265" i="143" s="1"/>
  <c r="Z265" i="143" s="1"/>
  <c r="AC264" i="143"/>
  <c r="AD263" i="143"/>
  <c r="AE263" i="143" s="1"/>
  <c r="AA264" i="143"/>
  <c r="F266" i="143"/>
  <c r="E266" i="143"/>
  <c r="J266" i="143"/>
  <c r="G266" i="143"/>
  <c r="I266" i="143"/>
  <c r="D267" i="143"/>
  <c r="H266" i="143"/>
  <c r="Q265" i="143" a="1"/>
  <c r="Q265" i="143" s="1"/>
  <c r="N265" i="143"/>
  <c r="K265" i="143" a="1"/>
  <c r="K265" i="143" s="1"/>
  <c r="AB264" i="143"/>
  <c r="O264" i="143"/>
  <c r="P264" i="143"/>
  <c r="R264" i="143" s="1"/>
  <c r="R34" i="284" l="1"/>
  <c r="R31" i="284"/>
  <c r="W266" i="143" a="1"/>
  <c r="W266" i="143" s="1"/>
  <c r="V266" i="143" a="1"/>
  <c r="V266" i="143" s="1"/>
  <c r="U266" i="143" a="1"/>
  <c r="U266" i="143" s="1"/>
  <c r="Z266" i="143" s="1"/>
  <c r="AC265" i="143"/>
  <c r="AA265" i="143"/>
  <c r="AB265" i="143"/>
  <c r="P265" i="143"/>
  <c r="R265" i="143" s="1"/>
  <c r="O265" i="143"/>
  <c r="I267" i="143"/>
  <c r="F267" i="143"/>
  <c r="E267" i="143"/>
  <c r="G267" i="143"/>
  <c r="J267" i="143"/>
  <c r="H267" i="143"/>
  <c r="D268" i="143"/>
  <c r="Q266" i="143" a="1"/>
  <c r="Q266" i="143" s="1"/>
  <c r="N266" i="143"/>
  <c r="K266" i="143" a="1"/>
  <c r="K266" i="143" s="1"/>
  <c r="S21" i="284" s="1" a="1"/>
  <c r="S21" i="284" s="1"/>
  <c r="AD264" i="143"/>
  <c r="AE264" i="143" s="1"/>
  <c r="V267" i="143" l="1" a="1"/>
  <c r="V267" i="143" s="1"/>
  <c r="U267" i="143" a="1"/>
  <c r="U267" i="143" s="1"/>
  <c r="Z267" i="143" s="1"/>
  <c r="W267" i="143" a="1"/>
  <c r="W267" i="143" s="1"/>
  <c r="S31" i="284"/>
  <c r="S34" i="284"/>
  <c r="AC266" i="143"/>
  <c r="AD265" i="143"/>
  <c r="AE265" i="143" s="1"/>
  <c r="AA266" i="143"/>
  <c r="P266" i="143"/>
  <c r="R266" i="143" s="1"/>
  <c r="O266" i="143"/>
  <c r="I268" i="143"/>
  <c r="E268" i="143"/>
  <c r="F268" i="143"/>
  <c r="G268" i="143"/>
  <c r="J268" i="143"/>
  <c r="D269" i="143"/>
  <c r="H268" i="143"/>
  <c r="AB266" i="143"/>
  <c r="N267" i="143"/>
  <c r="Q267" i="143" a="1"/>
  <c r="Q267" i="143" s="1"/>
  <c r="K267" i="143" a="1"/>
  <c r="K267" i="143" s="1"/>
  <c r="W268" i="143" l="1" a="1"/>
  <c r="W268" i="143" s="1"/>
  <c r="V268" i="143" a="1"/>
  <c r="V268" i="143" s="1"/>
  <c r="U268" i="143" a="1"/>
  <c r="U268" i="143" s="1"/>
  <c r="Z268" i="143" s="1"/>
  <c r="AC267" i="143"/>
  <c r="AD266" i="143"/>
  <c r="AE266" i="143" s="1"/>
  <c r="AB267" i="143"/>
  <c r="P267" i="143"/>
  <c r="R267" i="143" s="1"/>
  <c r="O267" i="143"/>
  <c r="F269" i="143"/>
  <c r="I269" i="143"/>
  <c r="E269" i="143"/>
  <c r="G269" i="143"/>
  <c r="H269" i="143"/>
  <c r="J269" i="143"/>
  <c r="D270" i="143"/>
  <c r="Q268" i="143" a="1"/>
  <c r="Q268" i="143" s="1"/>
  <c r="N268" i="143"/>
  <c r="K268" i="143" a="1"/>
  <c r="K268" i="143" s="1"/>
  <c r="U21" i="284" s="1" a="1"/>
  <c r="U21" i="284" s="1"/>
  <c r="AA267" i="143"/>
  <c r="V21" i="284" l="1" a="1"/>
  <c r="V21" i="284" s="1"/>
  <c r="V269" i="143" a="1"/>
  <c r="V269" i="143" s="1"/>
  <c r="U269" i="143" a="1"/>
  <c r="U269" i="143" s="1"/>
  <c r="Z269" i="143" s="1"/>
  <c r="W269" i="143" a="1"/>
  <c r="W269" i="143" s="1"/>
  <c r="U34" i="284"/>
  <c r="U31" i="284"/>
  <c r="AC268" i="143"/>
  <c r="AA268" i="143"/>
  <c r="AD267" i="143"/>
  <c r="AE267" i="143" s="1"/>
  <c r="P268" i="143"/>
  <c r="R268" i="143" s="1"/>
  <c r="O268" i="143"/>
  <c r="N269" i="143"/>
  <c r="K269" i="143" a="1"/>
  <c r="K269" i="143" s="1"/>
  <c r="Q269" i="143" a="1"/>
  <c r="Q269" i="143" s="1"/>
  <c r="J270" i="143"/>
  <c r="F270" i="143"/>
  <c r="I270" i="143"/>
  <c r="G270" i="143"/>
  <c r="E270" i="143"/>
  <c r="D271" i="143"/>
  <c r="H270" i="143"/>
  <c r="AB268" i="143"/>
  <c r="V31" i="284" l="1"/>
  <c r="V34" i="284"/>
  <c r="W21" i="284" a="1"/>
  <c r="W21" i="284" s="1"/>
  <c r="W270" i="143" a="1"/>
  <c r="W270" i="143" s="1"/>
  <c r="V270" i="143" a="1"/>
  <c r="V270" i="143" s="1"/>
  <c r="U270" i="143" a="1"/>
  <c r="U270" i="143" s="1"/>
  <c r="Z270" i="143" s="1"/>
  <c r="AC269" i="143"/>
  <c r="AA269" i="143"/>
  <c r="AD268" i="143"/>
  <c r="AE268" i="143" s="1"/>
  <c r="AB269" i="143"/>
  <c r="P269" i="143"/>
  <c r="R269" i="143" s="1"/>
  <c r="O269" i="143"/>
  <c r="G271" i="143"/>
  <c r="J271" i="143"/>
  <c r="D272" i="143"/>
  <c r="H271" i="143"/>
  <c r="E271" i="143"/>
  <c r="I271" i="143"/>
  <c r="F271" i="143"/>
  <c r="K270" i="143" a="1"/>
  <c r="K270" i="143" s="1"/>
  <c r="Q270" i="143" a="1"/>
  <c r="Q270" i="143" s="1"/>
  <c r="N270" i="143"/>
  <c r="W31" i="284" l="1"/>
  <c r="W34" i="284"/>
  <c r="U271" i="143" a="1"/>
  <c r="U271" i="143" s="1"/>
  <c r="Z271" i="143" s="1"/>
  <c r="V271" i="143" a="1"/>
  <c r="V271" i="143" s="1"/>
  <c r="W271" i="143" a="1"/>
  <c r="W271" i="143" s="1"/>
  <c r="X21" i="284" a="1"/>
  <c r="X21" i="284" s="1"/>
  <c r="AC270" i="143"/>
  <c r="AD269" i="143"/>
  <c r="AE269" i="143" s="1"/>
  <c r="AB270" i="143"/>
  <c r="P270" i="143"/>
  <c r="R270" i="143" s="1"/>
  <c r="O270" i="143"/>
  <c r="AA270" i="143"/>
  <c r="N271" i="143"/>
  <c r="Q271" i="143" a="1"/>
  <c r="Q271" i="143" s="1"/>
  <c r="K271" i="143" a="1"/>
  <c r="K271" i="143" s="1"/>
  <c r="G272" i="143"/>
  <c r="F272" i="143"/>
  <c r="E272" i="143"/>
  <c r="J272" i="143"/>
  <c r="D273" i="143"/>
  <c r="I272" i="143"/>
  <c r="H272" i="143"/>
  <c r="X34" i="284" l="1"/>
  <c r="X31" i="284"/>
  <c r="Y21" i="284" a="1"/>
  <c r="Y21" i="284" s="1"/>
  <c r="W272" i="143" a="1"/>
  <c r="W272" i="143" s="1"/>
  <c r="V272" i="143" a="1"/>
  <c r="V272" i="143" s="1"/>
  <c r="U272" i="143" a="1"/>
  <c r="U272" i="143" s="1"/>
  <c r="Z272" i="143" s="1"/>
  <c r="AC271" i="143"/>
  <c r="AB271" i="143"/>
  <c r="AD270" i="143"/>
  <c r="AE270" i="143" s="1"/>
  <c r="O271" i="143"/>
  <c r="P271" i="143"/>
  <c r="R271" i="143" s="1"/>
  <c r="AA271" i="143" s="1"/>
  <c r="K272" i="143" a="1"/>
  <c r="K272" i="143" s="1"/>
  <c r="N272" i="143"/>
  <c r="Q272" i="143" a="1"/>
  <c r="Q272" i="143" s="1"/>
  <c r="D274" i="143"/>
  <c r="J273" i="143"/>
  <c r="F273" i="143"/>
  <c r="I273" i="143"/>
  <c r="H273" i="143"/>
  <c r="E273" i="143"/>
  <c r="G273" i="143"/>
  <c r="Y31" i="284" l="1"/>
  <c r="Y34" i="284"/>
  <c r="W273" i="143" a="1"/>
  <c r="W273" i="143" s="1"/>
  <c r="V273" i="143" a="1"/>
  <c r="V273" i="143" s="1"/>
  <c r="U273" i="143" a="1"/>
  <c r="U273" i="143" s="1"/>
  <c r="Z273" i="143" s="1"/>
  <c r="Z21" i="284" a="1"/>
  <c r="Z21" i="284" s="1"/>
  <c r="AC272" i="143"/>
  <c r="AD271" i="143"/>
  <c r="AE271" i="143" s="1"/>
  <c r="AB272" i="143"/>
  <c r="Q273" i="143" a="1"/>
  <c r="Q273" i="143" s="1"/>
  <c r="N273" i="143"/>
  <c r="K273" i="143" a="1"/>
  <c r="K273" i="143" s="1"/>
  <c r="P272" i="143"/>
  <c r="R272" i="143" s="1"/>
  <c r="AA272" i="143" s="1"/>
  <c r="O272" i="143"/>
  <c r="E274" i="143"/>
  <c r="J274" i="143"/>
  <c r="F274" i="143"/>
  <c r="I274" i="143"/>
  <c r="D275" i="143"/>
  <c r="G274" i="143"/>
  <c r="H274" i="143"/>
  <c r="Z31" i="284" l="1"/>
  <c r="Z34" i="284"/>
  <c r="AA21" i="284" a="1"/>
  <c r="AA21" i="284" s="1"/>
  <c r="W274" i="143" a="1"/>
  <c r="W274" i="143" s="1"/>
  <c r="V274" i="143" a="1"/>
  <c r="V274" i="143" s="1"/>
  <c r="U274" i="143" a="1"/>
  <c r="U274" i="143" s="1"/>
  <c r="Z274" i="143" s="1"/>
  <c r="AC273" i="143"/>
  <c r="AD272" i="143"/>
  <c r="AE272" i="143" s="1"/>
  <c r="AA273" i="143"/>
  <c r="J275" i="143"/>
  <c r="H275" i="143"/>
  <c r="D276" i="143"/>
  <c r="F275" i="143"/>
  <c r="I275" i="143"/>
  <c r="E275" i="143"/>
  <c r="G275" i="143"/>
  <c r="O273" i="143"/>
  <c r="P273" i="143"/>
  <c r="R273" i="143" s="1"/>
  <c r="AB273" i="143"/>
  <c r="K274" i="143" a="1"/>
  <c r="K274" i="143" s="1"/>
  <c r="Q274" i="143" a="1"/>
  <c r="Q274" i="143" s="1"/>
  <c r="N274" i="143"/>
  <c r="AA31" i="284" l="1"/>
  <c r="AA34" i="284"/>
  <c r="V275" i="143" a="1"/>
  <c r="V275" i="143" s="1"/>
  <c r="W275" i="143" a="1"/>
  <c r="W275" i="143" s="1"/>
  <c r="U275" i="143" a="1"/>
  <c r="U275" i="143" s="1"/>
  <c r="Z275" i="143" s="1"/>
  <c r="AC274" i="143"/>
  <c r="AA274" i="143"/>
  <c r="AD273" i="143"/>
  <c r="AE273" i="143" s="1"/>
  <c r="AB274" i="143"/>
  <c r="F276" i="143"/>
  <c r="G276" i="143"/>
  <c r="E276" i="143"/>
  <c r="D277" i="143"/>
  <c r="I276" i="143"/>
  <c r="J276" i="143"/>
  <c r="H276" i="143"/>
  <c r="P274" i="143"/>
  <c r="R274" i="143" s="1"/>
  <c r="O274" i="143"/>
  <c r="K275" i="143" a="1"/>
  <c r="K275" i="143" s="1"/>
  <c r="AB21" i="284" s="1" a="1"/>
  <c r="AB21" i="284" s="1"/>
  <c r="Q275" i="143" a="1"/>
  <c r="Q275" i="143" s="1"/>
  <c r="N275" i="143"/>
  <c r="W276" i="143" l="1" a="1"/>
  <c r="W276" i="143" s="1"/>
  <c r="V276" i="143" a="1"/>
  <c r="V276" i="143" s="1"/>
  <c r="U276" i="143" a="1"/>
  <c r="U276" i="143" s="1"/>
  <c r="Z276" i="143" s="1"/>
  <c r="AB31" i="284"/>
  <c r="AB34" i="284"/>
  <c r="AC275" i="143"/>
  <c r="AD274" i="143"/>
  <c r="AE274" i="143" s="1"/>
  <c r="AB275" i="143"/>
  <c r="AA275" i="143"/>
  <c r="K276" i="143" a="1"/>
  <c r="K276" i="143" s="1"/>
  <c r="N276" i="143"/>
  <c r="Q276" i="143" a="1"/>
  <c r="Q276" i="143" s="1"/>
  <c r="E277" i="143"/>
  <c r="J277" i="143"/>
  <c r="F277" i="143"/>
  <c r="G277" i="143"/>
  <c r="I277" i="143"/>
  <c r="D278" i="143"/>
  <c r="H277" i="143"/>
  <c r="P275" i="143"/>
  <c r="R275" i="143" s="1"/>
  <c r="O275" i="143"/>
  <c r="V277" i="143" l="1" a="1"/>
  <c r="V277" i="143" s="1"/>
  <c r="U277" i="143" a="1"/>
  <c r="U277" i="143" s="1"/>
  <c r="Z277" i="143" s="1"/>
  <c r="W277" i="143" a="1"/>
  <c r="W277" i="143" s="1"/>
  <c r="AC276" i="143"/>
  <c r="AA276" i="143"/>
  <c r="AD275" i="143"/>
  <c r="AE275" i="143" s="1"/>
  <c r="AB276" i="143"/>
  <c r="G278" i="143"/>
  <c r="I278" i="143"/>
  <c r="H278" i="143"/>
  <c r="E278" i="143"/>
  <c r="J278" i="143"/>
  <c r="F278" i="143"/>
  <c r="D279" i="143"/>
  <c r="Q277" i="143" a="1"/>
  <c r="Q277" i="143" s="1"/>
  <c r="N277" i="143"/>
  <c r="K277" i="143" a="1"/>
  <c r="K277" i="143" s="1"/>
  <c r="O276" i="143"/>
  <c r="P276" i="143"/>
  <c r="R276" i="143" s="1"/>
  <c r="W278" i="143" l="1" a="1"/>
  <c r="W278" i="143" s="1"/>
  <c r="V278" i="143" a="1"/>
  <c r="V278" i="143" s="1"/>
  <c r="U278" i="143" a="1"/>
  <c r="U278" i="143" s="1"/>
  <c r="Z278" i="143" s="1"/>
  <c r="AC277" i="143"/>
  <c r="AD276" i="143"/>
  <c r="AE276" i="143" s="1"/>
  <c r="N278" i="143"/>
  <c r="K278" i="143" a="1"/>
  <c r="K278" i="143" s="1"/>
  <c r="AE21" i="284" s="1" a="1"/>
  <c r="AE21" i="284" s="1"/>
  <c r="Q278" i="143" a="1"/>
  <c r="Q278" i="143" s="1"/>
  <c r="O277" i="143"/>
  <c r="P277" i="143"/>
  <c r="R277" i="143" s="1"/>
  <c r="F279" i="143"/>
  <c r="G279" i="143"/>
  <c r="D280" i="143"/>
  <c r="I279" i="143"/>
  <c r="E279" i="143"/>
  <c r="H279" i="143"/>
  <c r="J279" i="143"/>
  <c r="AA277" i="143"/>
  <c r="AB277" i="143"/>
  <c r="AE31" i="284" l="1"/>
  <c r="AE34" i="284"/>
  <c r="V279" i="143" a="1"/>
  <c r="V279" i="143" s="1"/>
  <c r="U279" i="143" a="1"/>
  <c r="U279" i="143" s="1"/>
  <c r="Z279" i="143" s="1"/>
  <c r="W279" i="143" a="1"/>
  <c r="W279" i="143" s="1"/>
  <c r="AC278" i="143"/>
  <c r="AA278" i="143"/>
  <c r="AD277" i="143"/>
  <c r="AE277" i="143" s="1"/>
  <c r="AB278" i="143"/>
  <c r="F280" i="143"/>
  <c r="I280" i="143"/>
  <c r="J280" i="143"/>
  <c r="E280" i="143"/>
  <c r="H280" i="143"/>
  <c r="G280" i="143"/>
  <c r="D281" i="143"/>
  <c r="Q279" i="143" a="1"/>
  <c r="Q279" i="143" s="1"/>
  <c r="N279" i="143"/>
  <c r="K279" i="143" a="1"/>
  <c r="K279" i="143" s="1"/>
  <c r="AF21" i="284" s="1" a="1"/>
  <c r="AF21" i="284" s="1"/>
  <c r="O278" i="143"/>
  <c r="P278" i="143"/>
  <c r="R278" i="143" s="1"/>
  <c r="AF31" i="284" l="1"/>
  <c r="AF34" i="284"/>
  <c r="W280" i="143" a="1"/>
  <c r="W280" i="143" s="1"/>
  <c r="V280" i="143" a="1"/>
  <c r="V280" i="143" s="1"/>
  <c r="U280" i="143" a="1"/>
  <c r="U280" i="143" s="1"/>
  <c r="Z280" i="143" s="1"/>
  <c r="AC279" i="143"/>
  <c r="AD278" i="143"/>
  <c r="AE278" i="143" s="1"/>
  <c r="AA279" i="143"/>
  <c r="P279" i="143"/>
  <c r="R279" i="143" s="1"/>
  <c r="O279" i="143"/>
  <c r="J281" i="143"/>
  <c r="D282" i="143"/>
  <c r="G281" i="143"/>
  <c r="E281" i="143"/>
  <c r="F281" i="143"/>
  <c r="H281" i="143"/>
  <c r="I281" i="143"/>
  <c r="AB279" i="143"/>
  <c r="N280" i="143"/>
  <c r="Q280" i="143" a="1"/>
  <c r="Q280" i="143" s="1"/>
  <c r="K280" i="143" a="1"/>
  <c r="K280" i="143" s="1"/>
  <c r="AG21" i="284" s="1" a="1"/>
  <c r="AG21" i="284" s="1"/>
  <c r="AG31" i="284" l="1"/>
  <c r="AG34" i="284"/>
  <c r="W281" i="143" a="1"/>
  <c r="W281" i="143" s="1"/>
  <c r="V281" i="143" a="1"/>
  <c r="V281" i="143" s="1"/>
  <c r="U281" i="143" a="1"/>
  <c r="U281" i="143" s="1"/>
  <c r="Z281" i="143" s="1"/>
  <c r="AC280" i="143"/>
  <c r="O280" i="143"/>
  <c r="P280" i="143"/>
  <c r="R280" i="143" s="1"/>
  <c r="E282" i="143"/>
  <c r="F282" i="143"/>
  <c r="I282" i="143"/>
  <c r="G282" i="143"/>
  <c r="J282" i="143"/>
  <c r="H282" i="143"/>
  <c r="D283" i="143"/>
  <c r="AB280" i="143"/>
  <c r="K281" i="143" a="1"/>
  <c r="K281" i="143" s="1"/>
  <c r="Q281" i="143" a="1"/>
  <c r="Q281" i="143" s="1"/>
  <c r="N281" i="143"/>
  <c r="AA280" i="143"/>
  <c r="AD279" i="143"/>
  <c r="AE279" i="143" s="1"/>
  <c r="W282" i="143" l="1" a="1"/>
  <c r="W282" i="143" s="1"/>
  <c r="U282" i="143" a="1"/>
  <c r="U282" i="143" s="1"/>
  <c r="Z282" i="143" s="1"/>
  <c r="V282" i="143" a="1"/>
  <c r="V282" i="143" s="1"/>
  <c r="AC281" i="143"/>
  <c r="AA281" i="143"/>
  <c r="AB281" i="143"/>
  <c r="P281" i="143"/>
  <c r="R281" i="143" s="1"/>
  <c r="O281" i="143"/>
  <c r="G283" i="143"/>
  <c r="H283" i="143"/>
  <c r="D284" i="143"/>
  <c r="F283" i="143"/>
  <c r="E283" i="143"/>
  <c r="I283" i="143"/>
  <c r="J283" i="143"/>
  <c r="K282" i="143" a="1"/>
  <c r="K282" i="143" s="1"/>
  <c r="AI21" i="284" s="1" a="1"/>
  <c r="AI21" i="284" s="1"/>
  <c r="N282" i="143"/>
  <c r="Q282" i="143" a="1"/>
  <c r="Q282" i="143" s="1"/>
  <c r="AD280" i="143"/>
  <c r="AE280" i="143" s="1"/>
  <c r="AI31" i="284" l="1"/>
  <c r="AI34" i="284"/>
  <c r="V283" i="143" a="1"/>
  <c r="V283" i="143" s="1"/>
  <c r="U283" i="143" a="1"/>
  <c r="U283" i="143" s="1"/>
  <c r="Z283" i="143" s="1"/>
  <c r="W283" i="143" a="1"/>
  <c r="W283" i="143" s="1"/>
  <c r="AC282" i="143"/>
  <c r="AA282" i="143"/>
  <c r="AD281" i="143"/>
  <c r="AE281" i="143" s="1"/>
  <c r="AB282" i="143"/>
  <c r="H284" i="143"/>
  <c r="D285" i="143"/>
  <c r="E284" i="143"/>
  <c r="G284" i="143"/>
  <c r="I284" i="143"/>
  <c r="J284" i="143"/>
  <c r="F284" i="143"/>
  <c r="O282" i="143"/>
  <c r="P282" i="143"/>
  <c r="R282" i="143" s="1"/>
  <c r="K283" i="143" a="1"/>
  <c r="K283" i="143" s="1"/>
  <c r="F21" i="283" s="1" a="1"/>
  <c r="F21" i="283" s="1"/>
  <c r="N283" i="143"/>
  <c r="Q283" i="143" a="1"/>
  <c r="Q283" i="143" s="1"/>
  <c r="F31" i="283" l="1"/>
  <c r="F34" i="283"/>
  <c r="U284" i="143" a="1"/>
  <c r="U284" i="143" s="1"/>
  <c r="Z284" i="143" s="1"/>
  <c r="W284" i="143" a="1"/>
  <c r="W284" i="143" s="1"/>
  <c r="V284" i="143" a="1"/>
  <c r="V284" i="143" s="1"/>
  <c r="G21" i="283" a="1"/>
  <c r="G21" i="283" s="1"/>
  <c r="AC283" i="143"/>
  <c r="AD282" i="143"/>
  <c r="AE282" i="143" s="1"/>
  <c r="AB283" i="143"/>
  <c r="P283" i="143"/>
  <c r="R283" i="143" s="1"/>
  <c r="AA283" i="143" s="1"/>
  <c r="O283" i="143"/>
  <c r="K284" i="143" a="1"/>
  <c r="K284" i="143" s="1"/>
  <c r="Q284" i="143" a="1"/>
  <c r="Q284" i="143" s="1"/>
  <c r="N284" i="143"/>
  <c r="G285" i="143"/>
  <c r="I285" i="143"/>
  <c r="H285" i="143"/>
  <c r="D286" i="143"/>
  <c r="E285" i="143"/>
  <c r="J285" i="143"/>
  <c r="F285" i="143"/>
  <c r="G31" i="283" l="1"/>
  <c r="G34" i="283"/>
  <c r="V285" i="143" a="1"/>
  <c r="V285" i="143" s="1"/>
  <c r="U285" i="143" a="1"/>
  <c r="U285" i="143" s="1"/>
  <c r="Z285" i="143" s="1"/>
  <c r="W285" i="143" a="1"/>
  <c r="W285" i="143" s="1"/>
  <c r="AC284" i="143"/>
  <c r="AB284" i="143"/>
  <c r="F286" i="143"/>
  <c r="I286" i="143"/>
  <c r="E286" i="143"/>
  <c r="J286" i="143"/>
  <c r="G286" i="143"/>
  <c r="H286" i="143"/>
  <c r="D287" i="143"/>
  <c r="AA284" i="143"/>
  <c r="N285" i="143"/>
  <c r="K285" i="143" a="1"/>
  <c r="K285" i="143" s="1"/>
  <c r="H21" i="283" s="1" a="1"/>
  <c r="H21" i="283" s="1"/>
  <c r="Q285" i="143" a="1"/>
  <c r="Q285" i="143" s="1"/>
  <c r="AD283" i="143"/>
  <c r="AE283" i="143" s="1"/>
  <c r="O284" i="143"/>
  <c r="P284" i="143"/>
  <c r="R284" i="143" s="1"/>
  <c r="W286" i="143" l="1" a="1"/>
  <c r="W286" i="143" s="1"/>
  <c r="V286" i="143" a="1"/>
  <c r="V286" i="143" s="1"/>
  <c r="U286" i="143" a="1"/>
  <c r="U286" i="143" s="1"/>
  <c r="Z286" i="143" s="1"/>
  <c r="H31" i="283"/>
  <c r="H34" i="283"/>
  <c r="AC285" i="143"/>
  <c r="AA285" i="143"/>
  <c r="AD284" i="143"/>
  <c r="AE284" i="143" s="1"/>
  <c r="P285" i="143"/>
  <c r="R285" i="143" s="1"/>
  <c r="O285" i="143"/>
  <c r="AB285" i="143"/>
  <c r="D288" i="143"/>
  <c r="G287" i="143"/>
  <c r="I287" i="143"/>
  <c r="H287" i="143"/>
  <c r="F287" i="143"/>
  <c r="J287" i="143"/>
  <c r="E287" i="143"/>
  <c r="Q286" i="143" a="1"/>
  <c r="Q286" i="143" s="1"/>
  <c r="K286" i="143" a="1"/>
  <c r="K286" i="143" s="1"/>
  <c r="I21" i="283" s="1" a="1"/>
  <c r="I21" i="283" s="1"/>
  <c r="N286" i="143"/>
  <c r="W287" i="143" l="1" a="1"/>
  <c r="W287" i="143" s="1"/>
  <c r="V287" i="143" a="1"/>
  <c r="V287" i="143" s="1"/>
  <c r="U287" i="143" a="1"/>
  <c r="U287" i="143" s="1"/>
  <c r="Z287" i="143" s="1"/>
  <c r="I31" i="283"/>
  <c r="I34" i="283"/>
  <c r="AC286" i="143"/>
  <c r="AA286" i="143"/>
  <c r="AD285" i="143"/>
  <c r="AE285" i="143" s="1"/>
  <c r="AB286" i="143"/>
  <c r="H288" i="143"/>
  <c r="G288" i="143"/>
  <c r="D289" i="143"/>
  <c r="E288" i="143"/>
  <c r="I288" i="143"/>
  <c r="F288" i="143"/>
  <c r="J288" i="143"/>
  <c r="K287" i="143" a="1"/>
  <c r="K287" i="143" s="1"/>
  <c r="J21" i="283" s="1" a="1"/>
  <c r="J21" i="283" s="1"/>
  <c r="N287" i="143"/>
  <c r="Q287" i="143" a="1"/>
  <c r="Q287" i="143" s="1"/>
  <c r="O286" i="143"/>
  <c r="P286" i="143"/>
  <c r="R286" i="143" s="1"/>
  <c r="U288" i="143" l="1" a="1"/>
  <c r="U288" i="143" s="1"/>
  <c r="Z288" i="143" s="1"/>
  <c r="W288" i="143" a="1"/>
  <c r="W288" i="143" s="1"/>
  <c r="V288" i="143" a="1"/>
  <c r="V288" i="143" s="1"/>
  <c r="K21" i="283" a="1"/>
  <c r="K21" i="283" s="1"/>
  <c r="J31" i="283"/>
  <c r="J34" i="283"/>
  <c r="AC287" i="143"/>
  <c r="AA287" i="143"/>
  <c r="AB287" i="143"/>
  <c r="AD286" i="143"/>
  <c r="AE286" i="143" s="1"/>
  <c r="O287" i="143"/>
  <c r="P287" i="143"/>
  <c r="R287" i="143" s="1"/>
  <c r="Q288" i="143" a="1"/>
  <c r="Q288" i="143" s="1"/>
  <c r="K288" i="143" a="1"/>
  <c r="K288" i="143" s="1"/>
  <c r="N288" i="143"/>
  <c r="E289" i="143"/>
  <c r="J289" i="143"/>
  <c r="F289" i="143"/>
  <c r="D290" i="143"/>
  <c r="G289" i="143"/>
  <c r="I289" i="143"/>
  <c r="H289" i="143"/>
  <c r="K31" i="283" l="1"/>
  <c r="K34" i="283"/>
  <c r="W289" i="143" a="1"/>
  <c r="W289" i="143" s="1"/>
  <c r="V289" i="143" a="1"/>
  <c r="V289" i="143" s="1"/>
  <c r="U289" i="143" a="1"/>
  <c r="U289" i="143" s="1"/>
  <c r="Z289" i="143" s="1"/>
  <c r="AC288" i="143"/>
  <c r="AA288" i="143"/>
  <c r="AD287" i="143"/>
  <c r="AE287" i="143" s="1"/>
  <c r="AB288" i="143"/>
  <c r="K289" i="143" a="1"/>
  <c r="K289" i="143" s="1"/>
  <c r="Q289" i="143" a="1"/>
  <c r="Q289" i="143" s="1"/>
  <c r="N289" i="143"/>
  <c r="J290" i="143"/>
  <c r="G290" i="143"/>
  <c r="D291" i="143"/>
  <c r="H290" i="143"/>
  <c r="E290" i="143"/>
  <c r="I290" i="143"/>
  <c r="F290" i="143"/>
  <c r="O288" i="143"/>
  <c r="P288" i="143"/>
  <c r="R288" i="143" s="1"/>
  <c r="W290" i="143" l="1" a="1"/>
  <c r="W290" i="143" s="1"/>
  <c r="V290" i="143" a="1"/>
  <c r="V290" i="143" s="1"/>
  <c r="U290" i="143" a="1"/>
  <c r="U290" i="143" s="1"/>
  <c r="Z290" i="143" s="1"/>
  <c r="AC289" i="143"/>
  <c r="AA289" i="143"/>
  <c r="AD288" i="143"/>
  <c r="AE288" i="143" s="1"/>
  <c r="AB289" i="143"/>
  <c r="K290" i="143" a="1"/>
  <c r="K290" i="143" s="1"/>
  <c r="M21" i="283" s="1" a="1"/>
  <c r="M21" i="283" s="1"/>
  <c r="N290" i="143"/>
  <c r="Q290" i="143" a="1"/>
  <c r="Q290" i="143" s="1"/>
  <c r="I291" i="143"/>
  <c r="G291" i="143"/>
  <c r="D292" i="143"/>
  <c r="J291" i="143"/>
  <c r="F291" i="143"/>
  <c r="H291" i="143"/>
  <c r="E291" i="143"/>
  <c r="O289" i="143"/>
  <c r="P289" i="143"/>
  <c r="R289" i="143" s="1"/>
  <c r="M34" i="283" l="1"/>
  <c r="M31" i="283"/>
  <c r="U291" i="143" a="1"/>
  <c r="U291" i="143" s="1"/>
  <c r="Z291" i="143" s="1"/>
  <c r="W291" i="143" a="1"/>
  <c r="W291" i="143" s="1"/>
  <c r="V291" i="143" a="1"/>
  <c r="V291" i="143" s="1"/>
  <c r="N21" i="283" a="1"/>
  <c r="N21" i="283" s="1"/>
  <c r="AC290" i="143"/>
  <c r="AA290" i="143"/>
  <c r="AD289" i="143"/>
  <c r="AE289" i="143" s="1"/>
  <c r="AB290" i="143"/>
  <c r="N291" i="143"/>
  <c r="K291" i="143" a="1"/>
  <c r="K291" i="143" s="1"/>
  <c r="Q291" i="143" a="1"/>
  <c r="Q291" i="143" s="1"/>
  <c r="J292" i="143"/>
  <c r="D293" i="143"/>
  <c r="H292" i="143"/>
  <c r="G292" i="143"/>
  <c r="E292" i="143"/>
  <c r="I292" i="143"/>
  <c r="F292" i="143"/>
  <c r="O290" i="143"/>
  <c r="P290" i="143"/>
  <c r="R290" i="143" s="1"/>
  <c r="N31" i="283" l="1"/>
  <c r="N34" i="283"/>
  <c r="W292" i="143" a="1"/>
  <c r="W292" i="143" s="1"/>
  <c r="V292" i="143" a="1"/>
  <c r="V292" i="143" s="1"/>
  <c r="U292" i="143" a="1"/>
  <c r="U292" i="143" s="1"/>
  <c r="Z292" i="143" s="1"/>
  <c r="AC291" i="143"/>
  <c r="AA291" i="143"/>
  <c r="AD290" i="143"/>
  <c r="AE290" i="143" s="1"/>
  <c r="Q292" i="143" a="1"/>
  <c r="Q292" i="143" s="1"/>
  <c r="K292" i="143" a="1"/>
  <c r="K292" i="143" s="1"/>
  <c r="O21" i="283" s="1" a="1"/>
  <c r="O21" i="283" s="1"/>
  <c r="N292" i="143"/>
  <c r="E293" i="143"/>
  <c r="I293" i="143"/>
  <c r="D294" i="143"/>
  <c r="J293" i="143"/>
  <c r="F293" i="143"/>
  <c r="G293" i="143"/>
  <c r="H293" i="143"/>
  <c r="AB291" i="143"/>
  <c r="O291" i="143"/>
  <c r="P291" i="143"/>
  <c r="R291" i="143" s="1"/>
  <c r="O34" i="283" l="1"/>
  <c r="O31" i="283"/>
  <c r="P21" i="283" a="1"/>
  <c r="P21" i="283" s="1"/>
  <c r="W293" i="143" a="1"/>
  <c r="W293" i="143" s="1"/>
  <c r="V293" i="143" a="1"/>
  <c r="V293" i="143" s="1"/>
  <c r="U293" i="143" a="1"/>
  <c r="U293" i="143" s="1"/>
  <c r="Z293" i="143" s="1"/>
  <c r="AC292" i="143"/>
  <c r="AA292" i="143"/>
  <c r="AD291" i="143"/>
  <c r="AE291" i="143" s="1"/>
  <c r="I294" i="143"/>
  <c r="J294" i="143"/>
  <c r="D295" i="143"/>
  <c r="H294" i="143"/>
  <c r="G294" i="143"/>
  <c r="F294" i="143"/>
  <c r="E294" i="143"/>
  <c r="Q293" i="143" a="1"/>
  <c r="Q293" i="143" s="1"/>
  <c r="K293" i="143" a="1"/>
  <c r="K293" i="143" s="1"/>
  <c r="N293" i="143"/>
  <c r="AB292" i="143"/>
  <c r="O292" i="143"/>
  <c r="P292" i="143"/>
  <c r="R292" i="143" s="1"/>
  <c r="P34" i="283" l="1"/>
  <c r="P31" i="283"/>
  <c r="U294" i="143" a="1"/>
  <c r="U294" i="143" s="1"/>
  <c r="Z294" i="143" s="1"/>
  <c r="W294" i="143" a="1"/>
  <c r="W294" i="143" s="1"/>
  <c r="V294" i="143" a="1"/>
  <c r="V294" i="143" s="1"/>
  <c r="Q21" i="283" a="1"/>
  <c r="Q21" i="283" s="1"/>
  <c r="AC293" i="143"/>
  <c r="AA293" i="143"/>
  <c r="AD292" i="143"/>
  <c r="AE292" i="143" s="1"/>
  <c r="AB293" i="143"/>
  <c r="J295" i="143"/>
  <c r="G295" i="143"/>
  <c r="H295" i="143"/>
  <c r="E295" i="143"/>
  <c r="D296" i="143"/>
  <c r="F295" i="143"/>
  <c r="I295" i="143"/>
  <c r="Q294" i="143" a="1"/>
  <c r="Q294" i="143" s="1"/>
  <c r="K294" i="143" a="1"/>
  <c r="K294" i="143" s="1"/>
  <c r="N294" i="143"/>
  <c r="O293" i="143"/>
  <c r="P293" i="143"/>
  <c r="R293" i="143" s="1"/>
  <c r="Q34" i="283" l="1"/>
  <c r="Q31" i="283"/>
  <c r="V295" i="143" a="1"/>
  <c r="V295" i="143" s="1"/>
  <c r="U295" i="143" a="1"/>
  <c r="U295" i="143" s="1"/>
  <c r="Z295" i="143" s="1"/>
  <c r="W295" i="143" a="1"/>
  <c r="W295" i="143" s="1"/>
  <c r="R21" i="283" a="1"/>
  <c r="R21" i="283" s="1"/>
  <c r="AC294" i="143"/>
  <c r="AA294" i="143"/>
  <c r="AB294" i="143"/>
  <c r="AD293" i="143"/>
  <c r="AE293" i="143" s="1"/>
  <c r="K295" i="143" a="1"/>
  <c r="K295" i="143" s="1"/>
  <c r="Q295" i="143" a="1"/>
  <c r="Q295" i="143" s="1"/>
  <c r="N295" i="143"/>
  <c r="O294" i="143"/>
  <c r="P294" i="143"/>
  <c r="R294" i="143" s="1"/>
  <c r="E296" i="143"/>
  <c r="F296" i="143"/>
  <c r="H296" i="143"/>
  <c r="D297" i="143"/>
  <c r="G296" i="143"/>
  <c r="J296" i="143"/>
  <c r="I296" i="143"/>
  <c r="R31" i="283" l="1"/>
  <c r="R34" i="283"/>
  <c r="W296" i="143" a="1"/>
  <c r="W296" i="143" s="1"/>
  <c r="V296" i="143" a="1"/>
  <c r="V296" i="143" s="1"/>
  <c r="U296" i="143" a="1"/>
  <c r="U296" i="143" s="1"/>
  <c r="Z296" i="143" s="1"/>
  <c r="AC295" i="143"/>
  <c r="AD294" i="143"/>
  <c r="AE294" i="143" s="1"/>
  <c r="AB295" i="143"/>
  <c r="Q296" i="143" a="1"/>
  <c r="Q296" i="143" s="1"/>
  <c r="N296" i="143"/>
  <c r="K296" i="143" a="1"/>
  <c r="K296" i="143" s="1"/>
  <c r="S21" i="283" s="1" a="1"/>
  <c r="S21" i="283" s="1"/>
  <c r="I297" i="143"/>
  <c r="G297" i="143"/>
  <c r="F297" i="143"/>
  <c r="E297" i="143"/>
  <c r="H297" i="143"/>
  <c r="D298" i="143"/>
  <c r="J297" i="143"/>
  <c r="P295" i="143"/>
  <c r="R295" i="143" s="1"/>
  <c r="O295" i="143"/>
  <c r="AA295" i="143"/>
  <c r="S31" i="283" l="1"/>
  <c r="S34" i="283"/>
  <c r="W297" i="143" a="1"/>
  <c r="W297" i="143" s="1"/>
  <c r="V297" i="143" a="1"/>
  <c r="V297" i="143" s="1"/>
  <c r="U297" i="143" a="1"/>
  <c r="U297" i="143" s="1"/>
  <c r="Z297" i="143" s="1"/>
  <c r="AC296" i="143"/>
  <c r="AA296" i="143"/>
  <c r="AD295" i="143"/>
  <c r="AE295" i="143" s="1"/>
  <c r="N297" i="143"/>
  <c r="K297" i="143" a="1"/>
  <c r="K297" i="143" s="1"/>
  <c r="Q297" i="143" a="1"/>
  <c r="Q297" i="143" s="1"/>
  <c r="AB296" i="143"/>
  <c r="P296" i="143"/>
  <c r="R296" i="143" s="1"/>
  <c r="O296" i="143"/>
  <c r="E298" i="143"/>
  <c r="G298" i="143"/>
  <c r="J298" i="143"/>
  <c r="I298" i="143"/>
  <c r="F298" i="143"/>
  <c r="H298" i="143"/>
  <c r="D299" i="143"/>
  <c r="W298" i="143" l="1" a="1"/>
  <c r="W298" i="143" s="1"/>
  <c r="V298" i="143" a="1"/>
  <c r="V298" i="143" s="1"/>
  <c r="U298" i="143" a="1"/>
  <c r="U298" i="143" s="1"/>
  <c r="Z298" i="143" s="1"/>
  <c r="AC297" i="143"/>
  <c r="AA297" i="143"/>
  <c r="D300" i="143"/>
  <c r="H299" i="143"/>
  <c r="F299" i="143"/>
  <c r="G299" i="143"/>
  <c r="E299" i="143"/>
  <c r="J299" i="143"/>
  <c r="I299" i="143"/>
  <c r="AD296" i="143"/>
  <c r="AE296" i="143" s="1"/>
  <c r="AB297" i="143"/>
  <c r="N298" i="143"/>
  <c r="K298" i="143" a="1"/>
  <c r="K298" i="143" s="1"/>
  <c r="Q298" i="143" a="1"/>
  <c r="Q298" i="143" s="1"/>
  <c r="O297" i="143"/>
  <c r="P297" i="143"/>
  <c r="R297" i="143" s="1"/>
  <c r="U299" i="143" l="1" a="1"/>
  <c r="U299" i="143" s="1"/>
  <c r="Z299" i="143" s="1"/>
  <c r="V299" i="143" a="1"/>
  <c r="V299" i="143" s="1"/>
  <c r="W299" i="143" a="1"/>
  <c r="W299" i="143" s="1"/>
  <c r="AC298" i="143"/>
  <c r="AA298" i="143"/>
  <c r="AD297" i="143"/>
  <c r="AE297" i="143" s="1"/>
  <c r="O298" i="143"/>
  <c r="P298" i="143"/>
  <c r="R298" i="143" s="1"/>
  <c r="AB298" i="143"/>
  <c r="N299" i="143"/>
  <c r="K299" i="143" a="1"/>
  <c r="K299" i="143" s="1"/>
  <c r="V21" i="283" s="1" a="1"/>
  <c r="V21" i="283" s="1"/>
  <c r="Q299" i="143" a="1"/>
  <c r="Q299" i="143" s="1"/>
  <c r="G300" i="143"/>
  <c r="E300" i="143"/>
  <c r="J300" i="143"/>
  <c r="I300" i="143"/>
  <c r="F300" i="143"/>
  <c r="H300" i="143"/>
  <c r="D301" i="143"/>
  <c r="V31" i="283" l="1"/>
  <c r="V34" i="283"/>
  <c r="W21" i="283" a="1"/>
  <c r="W21" i="283" s="1"/>
  <c r="U300" i="143" a="1"/>
  <c r="U300" i="143" s="1"/>
  <c r="Z300" i="143" s="1"/>
  <c r="W300" i="143" a="1"/>
  <c r="W300" i="143" s="1"/>
  <c r="V300" i="143" a="1"/>
  <c r="V300" i="143" s="1"/>
  <c r="AC299" i="143"/>
  <c r="AD298" i="143"/>
  <c r="AE298" i="143" s="1"/>
  <c r="AB299" i="143"/>
  <c r="AA299" i="143"/>
  <c r="P299" i="143"/>
  <c r="R299" i="143" s="1"/>
  <c r="O299" i="143"/>
  <c r="E301" i="143"/>
  <c r="I301" i="143"/>
  <c r="G301" i="143"/>
  <c r="H301" i="143"/>
  <c r="J301" i="143"/>
  <c r="F301" i="143"/>
  <c r="D302" i="143"/>
  <c r="Q300" i="143" a="1"/>
  <c r="Q300" i="143" s="1"/>
  <c r="N300" i="143"/>
  <c r="K300" i="143" a="1"/>
  <c r="K300" i="143" s="1"/>
  <c r="W34" i="283" l="1"/>
  <c r="W31" i="283"/>
  <c r="X21" i="283" a="1"/>
  <c r="X21" i="283" s="1"/>
  <c r="W301" i="143" a="1"/>
  <c r="W301" i="143" s="1"/>
  <c r="V301" i="143" a="1"/>
  <c r="V301" i="143" s="1"/>
  <c r="U301" i="143" a="1"/>
  <c r="U301" i="143" s="1"/>
  <c r="Z301" i="143" s="1"/>
  <c r="AC300" i="143"/>
  <c r="AD299" i="143"/>
  <c r="AE299" i="143" s="1"/>
  <c r="AB300" i="143"/>
  <c r="I302" i="143"/>
  <c r="J302" i="143"/>
  <c r="G302" i="143"/>
  <c r="F302" i="143"/>
  <c r="E302" i="143"/>
  <c r="H302" i="143"/>
  <c r="D303" i="143"/>
  <c r="N301" i="143"/>
  <c r="K301" i="143" a="1"/>
  <c r="K301" i="143" s="1"/>
  <c r="Q301" i="143" a="1"/>
  <c r="Q301" i="143" s="1"/>
  <c r="P300" i="143"/>
  <c r="R300" i="143" s="1"/>
  <c r="AA300" i="143" s="1"/>
  <c r="O300" i="143"/>
  <c r="X34" i="283" l="1"/>
  <c r="X31" i="283"/>
  <c r="Y21" i="283" a="1"/>
  <c r="Y21" i="283" s="1"/>
  <c r="W302" i="143" a="1"/>
  <c r="W302" i="143" s="1"/>
  <c r="U302" i="143" a="1"/>
  <c r="U302" i="143" s="1"/>
  <c r="Z302" i="143" s="1"/>
  <c r="V302" i="143" a="1"/>
  <c r="V302" i="143" s="1"/>
  <c r="AC301" i="143"/>
  <c r="AB301" i="143"/>
  <c r="AD300" i="143"/>
  <c r="AE300" i="143" s="1"/>
  <c r="O301" i="143"/>
  <c r="P301" i="143"/>
  <c r="R301" i="143" s="1"/>
  <c r="AA301" i="143" s="1"/>
  <c r="D304" i="143"/>
  <c r="H303" i="143"/>
  <c r="I303" i="143"/>
  <c r="E303" i="143"/>
  <c r="G303" i="143"/>
  <c r="F303" i="143"/>
  <c r="J303" i="143"/>
  <c r="N302" i="143"/>
  <c r="K302" i="143" a="1"/>
  <c r="K302" i="143" s="1"/>
  <c r="Q302" i="143" a="1"/>
  <c r="Q302" i="143" s="1"/>
  <c r="Y31" i="283" l="1"/>
  <c r="Y34" i="283"/>
  <c r="V303" i="143" a="1"/>
  <c r="V303" i="143" s="1"/>
  <c r="U303" i="143" a="1"/>
  <c r="U303" i="143" s="1"/>
  <c r="Z303" i="143" s="1"/>
  <c r="W303" i="143" a="1"/>
  <c r="W303" i="143" s="1"/>
  <c r="AC302" i="143"/>
  <c r="AD301" i="143"/>
  <c r="AE301" i="143" s="1"/>
  <c r="O302" i="143"/>
  <c r="P302" i="143"/>
  <c r="R302" i="143" s="1"/>
  <c r="Q303" i="143" a="1"/>
  <c r="Q303" i="143" s="1"/>
  <c r="N303" i="143"/>
  <c r="K303" i="143" a="1"/>
  <c r="K303" i="143" s="1"/>
  <c r="Z21" i="283" s="1" a="1"/>
  <c r="Z21" i="283" s="1"/>
  <c r="I304" i="143"/>
  <c r="J304" i="143"/>
  <c r="H304" i="143"/>
  <c r="F304" i="143"/>
  <c r="G304" i="143"/>
  <c r="D305" i="143"/>
  <c r="E304" i="143"/>
  <c r="AA302" i="143"/>
  <c r="AB302" i="143"/>
  <c r="Z34" i="283" l="1"/>
  <c r="Z31" i="283"/>
  <c r="W304" i="143" a="1"/>
  <c r="W304" i="143" s="1"/>
  <c r="V304" i="143" a="1"/>
  <c r="V304" i="143" s="1"/>
  <c r="U304" i="143" a="1"/>
  <c r="U304" i="143" s="1"/>
  <c r="Z304" i="143" s="1"/>
  <c r="AC303" i="143"/>
  <c r="AA303" i="143"/>
  <c r="J305" i="143"/>
  <c r="G305" i="143"/>
  <c r="D306" i="143"/>
  <c r="E305" i="143"/>
  <c r="F305" i="143"/>
  <c r="I305" i="143"/>
  <c r="H305" i="143"/>
  <c r="O303" i="143"/>
  <c r="P303" i="143"/>
  <c r="R303" i="143" s="1"/>
  <c r="K304" i="143" a="1"/>
  <c r="K304" i="143" s="1"/>
  <c r="Q304" i="143" a="1"/>
  <c r="Q304" i="143" s="1"/>
  <c r="N304" i="143"/>
  <c r="AB303" i="143"/>
  <c r="AD302" i="143"/>
  <c r="AE302" i="143" s="1"/>
  <c r="AB21" i="283" l="1" a="1"/>
  <c r="AB21" i="283" s="1"/>
  <c r="W305" i="143" a="1"/>
  <c r="W305" i="143" s="1"/>
  <c r="V305" i="143" a="1"/>
  <c r="V305" i="143" s="1"/>
  <c r="U305" i="143" a="1"/>
  <c r="U305" i="143" s="1"/>
  <c r="Z305" i="143" s="1"/>
  <c r="AC304" i="143"/>
  <c r="AA304" i="143"/>
  <c r="AB304" i="143"/>
  <c r="K305" i="143" a="1"/>
  <c r="K305" i="143" s="1"/>
  <c r="N305" i="143"/>
  <c r="Q305" i="143" a="1"/>
  <c r="Q305" i="143" s="1"/>
  <c r="E306" i="143"/>
  <c r="J306" i="143"/>
  <c r="H306" i="143"/>
  <c r="G306" i="143"/>
  <c r="F306" i="143"/>
  <c r="D307" i="143"/>
  <c r="I306" i="143"/>
  <c r="P304" i="143"/>
  <c r="R304" i="143" s="1"/>
  <c r="O304" i="143"/>
  <c r="AD303" i="143"/>
  <c r="AE303" i="143" s="1"/>
  <c r="AB31" i="283" l="1"/>
  <c r="AB34" i="283"/>
  <c r="U306" i="143" a="1"/>
  <c r="U306" i="143" s="1"/>
  <c r="Z306" i="143" s="1"/>
  <c r="V306" i="143" a="1"/>
  <c r="V306" i="143" s="1"/>
  <c r="W306" i="143" a="1"/>
  <c r="W306" i="143" s="1"/>
  <c r="AC305" i="143"/>
  <c r="AA305" i="143"/>
  <c r="AD304" i="143"/>
  <c r="AE304" i="143" s="1"/>
  <c r="AB305" i="143"/>
  <c r="K306" i="143" a="1"/>
  <c r="K306" i="143" s="1"/>
  <c r="AC21" i="283" s="1" a="1"/>
  <c r="AC21" i="283" s="1"/>
  <c r="N306" i="143"/>
  <c r="Q306" i="143" a="1"/>
  <c r="Q306" i="143" s="1"/>
  <c r="I307" i="143"/>
  <c r="G307" i="143"/>
  <c r="J307" i="143"/>
  <c r="E307" i="143"/>
  <c r="F307" i="143"/>
  <c r="D308" i="143"/>
  <c r="H307" i="143"/>
  <c r="O305" i="143"/>
  <c r="P305" i="143"/>
  <c r="R305" i="143" s="1"/>
  <c r="AC34" i="283" l="1"/>
  <c r="AC31" i="283"/>
  <c r="V307" i="143" a="1"/>
  <c r="V307" i="143" s="1"/>
  <c r="U307" i="143" a="1"/>
  <c r="U307" i="143" s="1"/>
  <c r="Z307" i="143" s="1"/>
  <c r="W307" i="143" a="1"/>
  <c r="W307" i="143" s="1"/>
  <c r="AC306" i="143"/>
  <c r="AA306" i="143"/>
  <c r="AD305" i="143"/>
  <c r="AE305" i="143" s="1"/>
  <c r="AB306" i="143"/>
  <c r="N307" i="143"/>
  <c r="K307" i="143" a="1"/>
  <c r="K307" i="143" s="1"/>
  <c r="AD21" i="283" s="1" a="1"/>
  <c r="AD21" i="283" s="1"/>
  <c r="Q307" i="143" a="1"/>
  <c r="Q307" i="143" s="1"/>
  <c r="P306" i="143"/>
  <c r="R306" i="143" s="1"/>
  <c r="O306" i="143"/>
  <c r="J308" i="143"/>
  <c r="I308" i="143"/>
  <c r="H308" i="143"/>
  <c r="E308" i="143"/>
  <c r="F308" i="143"/>
  <c r="G308" i="143"/>
  <c r="D309" i="143"/>
  <c r="AD34" i="283" l="1"/>
  <c r="AD31" i="283"/>
  <c r="W308" i="143" a="1"/>
  <c r="W308" i="143" s="1"/>
  <c r="V308" i="143" a="1"/>
  <c r="V308" i="143" s="1"/>
  <c r="U308" i="143" a="1"/>
  <c r="U308" i="143" s="1"/>
  <c r="Z308" i="143" s="1"/>
  <c r="AC307" i="143"/>
  <c r="AA307" i="143"/>
  <c r="AD306" i="143"/>
  <c r="AE306" i="143" s="1"/>
  <c r="Q308" i="143" a="1"/>
  <c r="Q308" i="143" s="1"/>
  <c r="K308" i="143" a="1"/>
  <c r="K308" i="143" s="1"/>
  <c r="AE21" i="283" s="1" a="1"/>
  <c r="AE21" i="283" s="1"/>
  <c r="N308" i="143"/>
  <c r="P307" i="143"/>
  <c r="R307" i="143" s="1"/>
  <c r="O307" i="143"/>
  <c r="AB307" i="143"/>
  <c r="F309" i="143"/>
  <c r="I309" i="143"/>
  <c r="G309" i="143"/>
  <c r="E309" i="143"/>
  <c r="H309" i="143"/>
  <c r="D310" i="143"/>
  <c r="J309" i="143"/>
  <c r="AE31" i="283" l="1"/>
  <c r="AE34" i="283"/>
  <c r="AF21" i="283" a="1"/>
  <c r="AF21" i="283" s="1"/>
  <c r="W309" i="143" a="1"/>
  <c r="W309" i="143" s="1"/>
  <c r="U309" i="143" a="1"/>
  <c r="U309" i="143" s="1"/>
  <c r="Z309" i="143" s="1"/>
  <c r="V309" i="143" a="1"/>
  <c r="V309" i="143" s="1"/>
  <c r="AC308" i="143"/>
  <c r="AA308" i="143"/>
  <c r="AD307" i="143"/>
  <c r="AE307" i="143" s="1"/>
  <c r="AB308" i="143"/>
  <c r="J310" i="143"/>
  <c r="I310" i="143"/>
  <c r="D311" i="143"/>
  <c r="H310" i="143"/>
  <c r="E310" i="143"/>
  <c r="F310" i="143"/>
  <c r="G310" i="143"/>
  <c r="N309" i="143"/>
  <c r="Q309" i="143" a="1"/>
  <c r="Q309" i="143" s="1"/>
  <c r="K309" i="143" a="1"/>
  <c r="K309" i="143" s="1"/>
  <c r="O308" i="143"/>
  <c r="P308" i="143"/>
  <c r="R308" i="143" s="1"/>
  <c r="AF31" i="283" l="1"/>
  <c r="AF34" i="283"/>
  <c r="V310" i="143" a="1"/>
  <c r="V310" i="143" s="1"/>
  <c r="W310" i="143" a="1"/>
  <c r="W310" i="143" s="1"/>
  <c r="U310" i="143" a="1"/>
  <c r="U310" i="143" s="1"/>
  <c r="Z310" i="143" s="1"/>
  <c r="AC309" i="143"/>
  <c r="AB309" i="143"/>
  <c r="AD308" i="143"/>
  <c r="AE308" i="143" s="1"/>
  <c r="AA309" i="143"/>
  <c r="O309" i="143"/>
  <c r="P309" i="143"/>
  <c r="R309" i="143" s="1"/>
  <c r="D312" i="143"/>
  <c r="H311" i="143"/>
  <c r="G311" i="143"/>
  <c r="J311" i="143"/>
  <c r="I311" i="143"/>
  <c r="F311" i="143"/>
  <c r="E311" i="143"/>
  <c r="N310" i="143"/>
  <c r="Q310" i="143" a="1"/>
  <c r="Q310" i="143" s="1"/>
  <c r="K310" i="143" a="1"/>
  <c r="K310" i="143" s="1"/>
  <c r="AC310" i="143" s="1"/>
  <c r="V311" i="143" l="1" a="1"/>
  <c r="V311" i="143" s="1"/>
  <c r="U311" i="143" a="1"/>
  <c r="U311" i="143" s="1"/>
  <c r="Z311" i="143" s="1"/>
  <c r="W311" i="143" a="1"/>
  <c r="W311" i="143" s="1"/>
  <c r="AA310" i="143"/>
  <c r="AD309" i="143"/>
  <c r="AE309" i="143" s="1"/>
  <c r="P310" i="143"/>
  <c r="R310" i="143" s="1"/>
  <c r="O310" i="143"/>
  <c r="N311" i="143"/>
  <c r="K311" i="143" a="1"/>
  <c r="K311" i="143" s="1"/>
  <c r="AH21" i="283" s="1" a="1"/>
  <c r="AH21" i="283" s="1"/>
  <c r="Q311" i="143" a="1"/>
  <c r="Q311" i="143" s="1"/>
  <c r="I312" i="143"/>
  <c r="H312" i="143"/>
  <c r="E312" i="143"/>
  <c r="G312" i="143"/>
  <c r="D313" i="143"/>
  <c r="J312" i="143"/>
  <c r="F312" i="143"/>
  <c r="AB310" i="143"/>
  <c r="AH31" i="283" l="1"/>
  <c r="AH34" i="283"/>
  <c r="W312" i="143" a="1"/>
  <c r="W312" i="143" s="1"/>
  <c r="V312" i="143" a="1"/>
  <c r="V312" i="143" s="1"/>
  <c r="U312" i="143" a="1"/>
  <c r="U312" i="143" s="1"/>
  <c r="Z312" i="143" s="1"/>
  <c r="AI21" i="283" a="1"/>
  <c r="AI21" i="283" s="1"/>
  <c r="AC311" i="143"/>
  <c r="AA311" i="143"/>
  <c r="AB311" i="143"/>
  <c r="I313" i="143"/>
  <c r="F313" i="143"/>
  <c r="J313" i="143"/>
  <c r="G313" i="143"/>
  <c r="H313" i="143"/>
  <c r="E313" i="143"/>
  <c r="D314" i="143"/>
  <c r="K312" i="143" a="1"/>
  <c r="K312" i="143" s="1"/>
  <c r="N312" i="143"/>
  <c r="Q312" i="143" a="1"/>
  <c r="Q312" i="143" s="1"/>
  <c r="P311" i="143"/>
  <c r="R311" i="143" s="1"/>
  <c r="O311" i="143"/>
  <c r="AD310" i="143"/>
  <c r="AE310" i="143" s="1"/>
  <c r="AI34" i="283" l="1"/>
  <c r="AI31" i="283"/>
  <c r="W313" i="143" a="1"/>
  <c r="W313" i="143" s="1"/>
  <c r="U313" i="143" a="1"/>
  <c r="U313" i="143" s="1"/>
  <c r="Z313" i="143" s="1"/>
  <c r="V313" i="143" a="1"/>
  <c r="V313" i="143" s="1"/>
  <c r="AC312" i="143"/>
  <c r="AD311" i="143"/>
  <c r="AE311" i="143" s="1"/>
  <c r="P312" i="143"/>
  <c r="R312" i="143" s="1"/>
  <c r="AA312" i="143" s="1"/>
  <c r="O312" i="143"/>
  <c r="AB312" i="143"/>
  <c r="G314" i="143"/>
  <c r="I314" i="143"/>
  <c r="E314" i="143"/>
  <c r="F314" i="143"/>
  <c r="J314" i="143"/>
  <c r="H314" i="143"/>
  <c r="D315" i="143"/>
  <c r="N313" i="143"/>
  <c r="Q313" i="143" a="1"/>
  <c r="Q313" i="143" s="1"/>
  <c r="K313" i="143" a="1"/>
  <c r="K313" i="143" s="1"/>
  <c r="AJ21" i="283" s="1" a="1"/>
  <c r="AJ21" i="283" s="1"/>
  <c r="U314" i="143" l="1" a="1"/>
  <c r="U314" i="143" s="1"/>
  <c r="Z314" i="143" s="1"/>
  <c r="V314" i="143" a="1"/>
  <c r="V314" i="143" s="1"/>
  <c r="W314" i="143" a="1"/>
  <c r="W314" i="143" s="1"/>
  <c r="AJ34" i="283"/>
  <c r="AJ31" i="283"/>
  <c r="AC313" i="143"/>
  <c r="AD312" i="143"/>
  <c r="AE312" i="143" s="1"/>
  <c r="Q314" i="143" a="1"/>
  <c r="Q314" i="143" s="1"/>
  <c r="K314" i="143" a="1"/>
  <c r="K314" i="143" s="1"/>
  <c r="F21" i="282" s="1" a="1"/>
  <c r="F21" i="282" s="1"/>
  <c r="N314" i="143"/>
  <c r="P313" i="143"/>
  <c r="R313" i="143" s="1"/>
  <c r="AA313" i="143" s="1"/>
  <c r="O313" i="143"/>
  <c r="H315" i="143"/>
  <c r="D316" i="143"/>
  <c r="I315" i="143"/>
  <c r="J315" i="143"/>
  <c r="F315" i="143"/>
  <c r="G315" i="143"/>
  <c r="E315" i="143"/>
  <c r="AB313" i="143"/>
  <c r="F34" i="282" l="1"/>
  <c r="F31" i="282"/>
  <c r="V315" i="143" a="1"/>
  <c r="V315" i="143" s="1"/>
  <c r="W315" i="143" a="1"/>
  <c r="W315" i="143" s="1"/>
  <c r="U315" i="143" a="1"/>
  <c r="U315" i="143" s="1"/>
  <c r="Z315" i="143" s="1"/>
  <c r="AC314" i="143"/>
  <c r="AD313" i="143"/>
  <c r="AE313" i="143" s="1"/>
  <c r="K315" i="143" a="1"/>
  <c r="K315" i="143" s="1"/>
  <c r="G21" i="282" s="1" a="1"/>
  <c r="G21" i="282" s="1"/>
  <c r="Q315" i="143" a="1"/>
  <c r="Q315" i="143" s="1"/>
  <c r="N315" i="143"/>
  <c r="I316" i="143"/>
  <c r="F316" i="143"/>
  <c r="H316" i="143"/>
  <c r="G316" i="143"/>
  <c r="D317" i="143"/>
  <c r="E316" i="143"/>
  <c r="J316" i="143"/>
  <c r="AB314" i="143"/>
  <c r="O314" i="143"/>
  <c r="P314" i="143"/>
  <c r="R314" i="143" s="1"/>
  <c r="AA314" i="143" s="1"/>
  <c r="G34" i="282" l="1"/>
  <c r="G31" i="282"/>
  <c r="W316" i="143" a="1"/>
  <c r="W316" i="143" s="1"/>
  <c r="V316" i="143" a="1"/>
  <c r="V316" i="143" s="1"/>
  <c r="U316" i="143" a="1"/>
  <c r="U316" i="143" s="1"/>
  <c r="Z316" i="143" s="1"/>
  <c r="H21" i="282" a="1"/>
  <c r="H21" i="282" s="1"/>
  <c r="AC315" i="143"/>
  <c r="AA315" i="143"/>
  <c r="AD314" i="143"/>
  <c r="AE314" i="143" s="1"/>
  <c r="N316" i="143"/>
  <c r="Q316" i="143" a="1"/>
  <c r="Q316" i="143" s="1"/>
  <c r="K316" i="143" a="1"/>
  <c r="K316" i="143" s="1"/>
  <c r="F317" i="143"/>
  <c r="E317" i="143"/>
  <c r="G317" i="143"/>
  <c r="D318" i="143"/>
  <c r="H317" i="143"/>
  <c r="J317" i="143"/>
  <c r="I317" i="143"/>
  <c r="AB315" i="143"/>
  <c r="P315" i="143"/>
  <c r="R315" i="143" s="1"/>
  <c r="O315" i="143"/>
  <c r="H31" i="282" l="1"/>
  <c r="H34" i="282"/>
  <c r="W317" i="143" a="1"/>
  <c r="W317" i="143" s="1"/>
  <c r="U317" i="143" a="1"/>
  <c r="U317" i="143" s="1"/>
  <c r="Z317" i="143" s="1"/>
  <c r="V317" i="143" a="1"/>
  <c r="V317" i="143" s="1"/>
  <c r="AC316" i="143"/>
  <c r="AA316" i="143"/>
  <c r="AD315" i="143"/>
  <c r="AE315" i="143" s="1"/>
  <c r="P316" i="143"/>
  <c r="R316" i="143" s="1"/>
  <c r="O316" i="143"/>
  <c r="I318" i="143"/>
  <c r="J318" i="143"/>
  <c r="G318" i="143"/>
  <c r="F318" i="143"/>
  <c r="E318" i="143"/>
  <c r="H318" i="143"/>
  <c r="D319" i="143"/>
  <c r="Q317" i="143" a="1"/>
  <c r="Q317" i="143" s="1"/>
  <c r="K317" i="143" a="1"/>
  <c r="K317" i="143" s="1"/>
  <c r="I21" i="282" s="1" a="1"/>
  <c r="I21" i="282" s="1"/>
  <c r="N317" i="143"/>
  <c r="AB316" i="143"/>
  <c r="U318" i="143" l="1" a="1"/>
  <c r="U318" i="143" s="1"/>
  <c r="Z318" i="143" s="1"/>
  <c r="V318" i="143" a="1"/>
  <c r="V318" i="143" s="1"/>
  <c r="W318" i="143" a="1"/>
  <c r="W318" i="143" s="1"/>
  <c r="I31" i="282"/>
  <c r="I34" i="282"/>
  <c r="AC317" i="143"/>
  <c r="AB317" i="143"/>
  <c r="AD316" i="143"/>
  <c r="AE316" i="143" s="1"/>
  <c r="AA317" i="143"/>
  <c r="N318" i="143"/>
  <c r="Q318" i="143" a="1"/>
  <c r="Q318" i="143" s="1"/>
  <c r="K318" i="143" a="1"/>
  <c r="K318" i="143" s="1"/>
  <c r="O317" i="143"/>
  <c r="P317" i="143"/>
  <c r="R317" i="143" s="1"/>
  <c r="G319" i="143"/>
  <c r="I319" i="143"/>
  <c r="H319" i="143"/>
  <c r="F319" i="143"/>
  <c r="D320" i="143"/>
  <c r="E319" i="143"/>
  <c r="J319" i="143"/>
  <c r="V319" i="143" l="1" a="1"/>
  <c r="V319" i="143" s="1"/>
  <c r="U319" i="143" a="1"/>
  <c r="U319" i="143" s="1"/>
  <c r="Z319" i="143" s="1"/>
  <c r="W319" i="143" a="1"/>
  <c r="W319" i="143" s="1"/>
  <c r="K21" i="282" a="1"/>
  <c r="K21" i="282" s="1"/>
  <c r="AC318" i="143"/>
  <c r="AB318" i="143"/>
  <c r="AD317" i="143"/>
  <c r="AE317" i="143" s="1"/>
  <c r="E320" i="143"/>
  <c r="G320" i="143"/>
  <c r="I320" i="143"/>
  <c r="F320" i="143"/>
  <c r="H320" i="143"/>
  <c r="D321" i="143"/>
  <c r="J320" i="143"/>
  <c r="Q319" i="143" a="1"/>
  <c r="Q319" i="143" s="1"/>
  <c r="N319" i="143"/>
  <c r="K319" i="143" a="1"/>
  <c r="K319" i="143" s="1"/>
  <c r="AA318" i="143"/>
  <c r="O318" i="143"/>
  <c r="P318" i="143"/>
  <c r="R318" i="143" s="1"/>
  <c r="K31" i="282" l="1"/>
  <c r="K34" i="282"/>
  <c r="W320" i="143" a="1"/>
  <c r="W320" i="143" s="1"/>
  <c r="U320" i="143" a="1"/>
  <c r="U320" i="143" s="1"/>
  <c r="Z320" i="143" s="1"/>
  <c r="V320" i="143" a="1"/>
  <c r="V320" i="143" s="1"/>
  <c r="AC319" i="143"/>
  <c r="AA319" i="143"/>
  <c r="AD318" i="143"/>
  <c r="AE318" i="143" s="1"/>
  <c r="AB319" i="143"/>
  <c r="K320" i="143" a="1"/>
  <c r="K320" i="143" s="1"/>
  <c r="N320" i="143"/>
  <c r="Q320" i="143" a="1"/>
  <c r="Q320" i="143" s="1"/>
  <c r="D322" i="143"/>
  <c r="J321" i="143"/>
  <c r="F321" i="143"/>
  <c r="E321" i="143"/>
  <c r="I321" i="143"/>
  <c r="G321" i="143"/>
  <c r="H321" i="143"/>
  <c r="P319" i="143"/>
  <c r="R319" i="143" s="1"/>
  <c r="O319" i="143"/>
  <c r="W321" i="143" l="1" a="1"/>
  <c r="W321" i="143" s="1"/>
  <c r="U321" i="143" a="1"/>
  <c r="U321" i="143" s="1"/>
  <c r="Z321" i="143" s="1"/>
  <c r="V321" i="143" a="1"/>
  <c r="V321" i="143" s="1"/>
  <c r="AC320" i="143"/>
  <c r="AD319" i="143"/>
  <c r="AE319" i="143" s="1"/>
  <c r="P320" i="143"/>
  <c r="R320" i="143" s="1"/>
  <c r="O320" i="143"/>
  <c r="Q321" i="143" a="1"/>
  <c r="Q321" i="143" s="1"/>
  <c r="K321" i="143" a="1"/>
  <c r="K321" i="143" s="1"/>
  <c r="M21" i="282" s="1" a="1"/>
  <c r="M21" i="282" s="1"/>
  <c r="N321" i="143"/>
  <c r="F322" i="143"/>
  <c r="G322" i="143"/>
  <c r="J322" i="143"/>
  <c r="E322" i="143"/>
  <c r="H322" i="143"/>
  <c r="D323" i="143"/>
  <c r="I322" i="143"/>
  <c r="AA320" i="143"/>
  <c r="AB320" i="143"/>
  <c r="M31" i="282" l="1"/>
  <c r="M34" i="282"/>
  <c r="N21" i="282" a="1"/>
  <c r="N21" i="282" s="1"/>
  <c r="V322" i="143" a="1"/>
  <c r="V322" i="143" s="1"/>
  <c r="W322" i="143" a="1"/>
  <c r="W322" i="143" s="1"/>
  <c r="U322" i="143" a="1"/>
  <c r="U322" i="143" s="1"/>
  <c r="Z322" i="143" s="1"/>
  <c r="AC321" i="143"/>
  <c r="AA321" i="143"/>
  <c r="AD320" i="143"/>
  <c r="AE320" i="143" s="1"/>
  <c r="F323" i="143"/>
  <c r="G323" i="143"/>
  <c r="J323" i="143"/>
  <c r="E323" i="143"/>
  <c r="I323" i="143"/>
  <c r="D324" i="143"/>
  <c r="H323" i="143"/>
  <c r="O321" i="143"/>
  <c r="P321" i="143"/>
  <c r="R321" i="143" s="1"/>
  <c r="K322" i="143" a="1"/>
  <c r="K322" i="143" s="1"/>
  <c r="Q322" i="143" a="1"/>
  <c r="Q322" i="143" s="1"/>
  <c r="N322" i="143"/>
  <c r="AB321" i="143"/>
  <c r="N34" i="282" l="1"/>
  <c r="N31" i="282"/>
  <c r="W323" i="143" a="1"/>
  <c r="W323" i="143" s="1"/>
  <c r="U323" i="143" a="1"/>
  <c r="U323" i="143" s="1"/>
  <c r="Z323" i="143" s="1"/>
  <c r="V323" i="143" a="1"/>
  <c r="V323" i="143" s="1"/>
  <c r="AC322" i="143"/>
  <c r="AA322" i="143"/>
  <c r="AD321" i="143"/>
  <c r="AE321" i="143" s="1"/>
  <c r="N323" i="143"/>
  <c r="K323" i="143" a="1"/>
  <c r="K323" i="143" s="1"/>
  <c r="O21" i="282" s="1" a="1"/>
  <c r="O21" i="282" s="1"/>
  <c r="Q323" i="143" a="1"/>
  <c r="Q323" i="143" s="1"/>
  <c r="I324" i="143"/>
  <c r="E324" i="143"/>
  <c r="J324" i="143"/>
  <c r="F324" i="143"/>
  <c r="D325" i="143"/>
  <c r="H324" i="143"/>
  <c r="G324" i="143"/>
  <c r="AB322" i="143"/>
  <c r="P322" i="143"/>
  <c r="R322" i="143" s="1"/>
  <c r="O322" i="143"/>
  <c r="O34" i="282" l="1"/>
  <c r="O31" i="282"/>
  <c r="U324" i="143" a="1"/>
  <c r="U324" i="143" s="1"/>
  <c r="Z324" i="143" s="1"/>
  <c r="W324" i="143" a="1"/>
  <c r="W324" i="143" s="1"/>
  <c r="V324" i="143" a="1"/>
  <c r="V324" i="143" s="1"/>
  <c r="AC323" i="143"/>
  <c r="AA323" i="143"/>
  <c r="AD322" i="143"/>
  <c r="AE322" i="143" s="1"/>
  <c r="AB323" i="143"/>
  <c r="N324" i="143"/>
  <c r="Q324" i="143" a="1"/>
  <c r="Q324" i="143" s="1"/>
  <c r="K324" i="143" a="1"/>
  <c r="K324" i="143" s="1"/>
  <c r="H325" i="143"/>
  <c r="D326" i="143"/>
  <c r="I325" i="143"/>
  <c r="F325" i="143"/>
  <c r="E325" i="143"/>
  <c r="J325" i="143"/>
  <c r="G325" i="143"/>
  <c r="O323" i="143"/>
  <c r="P323" i="143"/>
  <c r="R323" i="143" s="1"/>
  <c r="U325" i="143" l="1" a="1"/>
  <c r="U325" i="143" s="1"/>
  <c r="Z325" i="143" s="1"/>
  <c r="V325" i="143" a="1"/>
  <c r="V325" i="143" s="1"/>
  <c r="W325" i="143" a="1"/>
  <c r="W325" i="143" s="1"/>
  <c r="Q21" i="282" a="1"/>
  <c r="Q21" i="282" s="1"/>
  <c r="AC324" i="143"/>
  <c r="AA324" i="143"/>
  <c r="AD323" i="143"/>
  <c r="AE323" i="143" s="1"/>
  <c r="Q325" i="143" a="1"/>
  <c r="Q325" i="143" s="1"/>
  <c r="N325" i="143"/>
  <c r="K325" i="143" a="1"/>
  <c r="K325" i="143" s="1"/>
  <c r="F326" i="143"/>
  <c r="I326" i="143"/>
  <c r="G326" i="143"/>
  <c r="E326" i="143"/>
  <c r="J326" i="143"/>
  <c r="H326" i="143"/>
  <c r="D327" i="143"/>
  <c r="AB324" i="143"/>
  <c r="O324" i="143"/>
  <c r="P324" i="143"/>
  <c r="R324" i="143" s="1"/>
  <c r="Q31" i="282" l="1"/>
  <c r="Q34" i="282"/>
  <c r="R21" i="282" a="1"/>
  <c r="R21" i="282" s="1"/>
  <c r="W326" i="143" a="1"/>
  <c r="W326" i="143" s="1"/>
  <c r="V326" i="143" a="1"/>
  <c r="V326" i="143" s="1"/>
  <c r="U326" i="143" a="1"/>
  <c r="U326" i="143" s="1"/>
  <c r="Z326" i="143" s="1"/>
  <c r="AC325" i="143"/>
  <c r="AB325" i="143"/>
  <c r="Q326" i="143" a="1"/>
  <c r="Q326" i="143" s="1"/>
  <c r="N326" i="143"/>
  <c r="K326" i="143" a="1"/>
  <c r="K326" i="143" s="1"/>
  <c r="AA325" i="143"/>
  <c r="P325" i="143"/>
  <c r="R325" i="143" s="1"/>
  <c r="O325" i="143"/>
  <c r="E327" i="143"/>
  <c r="J327" i="143"/>
  <c r="F327" i="143"/>
  <c r="G327" i="143"/>
  <c r="I327" i="143"/>
  <c r="D328" i="143"/>
  <c r="H327" i="143"/>
  <c r="AD324" i="143"/>
  <c r="AE324" i="143" s="1"/>
  <c r="R34" i="282" l="1"/>
  <c r="R31" i="282"/>
  <c r="W327" i="143" a="1"/>
  <c r="W327" i="143" s="1"/>
  <c r="U327" i="143" a="1"/>
  <c r="U327" i="143" s="1"/>
  <c r="Z327" i="143" s="1"/>
  <c r="V327" i="143" a="1"/>
  <c r="V327" i="143" s="1"/>
  <c r="AC326" i="143"/>
  <c r="AB326" i="143"/>
  <c r="AD325" i="143"/>
  <c r="AE325" i="143" s="1"/>
  <c r="AA326" i="143"/>
  <c r="I328" i="143"/>
  <c r="H328" i="143"/>
  <c r="D329" i="143"/>
  <c r="E328" i="143"/>
  <c r="G328" i="143"/>
  <c r="J328" i="143"/>
  <c r="F328" i="143"/>
  <c r="P326" i="143"/>
  <c r="R326" i="143" s="1"/>
  <c r="O326" i="143"/>
  <c r="Q327" i="143" a="1"/>
  <c r="Q327" i="143" s="1"/>
  <c r="K327" i="143" a="1"/>
  <c r="K327" i="143" s="1"/>
  <c r="S21" i="282" s="1" a="1"/>
  <c r="S21" i="282" s="1"/>
  <c r="N327" i="143"/>
  <c r="W328" i="143" l="1" a="1"/>
  <c r="W328" i="143" s="1"/>
  <c r="U328" i="143" a="1"/>
  <c r="U328" i="143" s="1"/>
  <c r="Z328" i="143" s="1"/>
  <c r="V328" i="143" a="1"/>
  <c r="V328" i="143" s="1"/>
  <c r="T21" i="282" a="1"/>
  <c r="T21" i="282" s="1"/>
  <c r="S31" i="282"/>
  <c r="S34" i="282"/>
  <c r="AC327" i="143"/>
  <c r="AA327" i="143"/>
  <c r="AD326" i="143"/>
  <c r="AE326" i="143" s="1"/>
  <c r="AB327" i="143"/>
  <c r="P327" i="143"/>
  <c r="R327" i="143" s="1"/>
  <c r="O327" i="143"/>
  <c r="J329" i="143"/>
  <c r="G329" i="143"/>
  <c r="F329" i="143"/>
  <c r="H329" i="143"/>
  <c r="D330" i="143"/>
  <c r="E329" i="143"/>
  <c r="I329" i="143"/>
  <c r="N328" i="143"/>
  <c r="K328" i="143" a="1"/>
  <c r="K328" i="143" s="1"/>
  <c r="Q328" i="143" a="1"/>
  <c r="Q328" i="143" s="1"/>
  <c r="T34" i="282" l="1"/>
  <c r="T31" i="282"/>
  <c r="V329" i="143" a="1"/>
  <c r="V329" i="143" s="1"/>
  <c r="U329" i="143" a="1"/>
  <c r="U329" i="143" s="1"/>
  <c r="Z329" i="143" s="1"/>
  <c r="W329" i="143" a="1"/>
  <c r="W329" i="143" s="1"/>
  <c r="U21" i="282" a="1"/>
  <c r="U21" i="282" s="1"/>
  <c r="AC328" i="143"/>
  <c r="AA328" i="143"/>
  <c r="AD327" i="143"/>
  <c r="AE327" i="143" s="1"/>
  <c r="AB328" i="143"/>
  <c r="F330" i="143"/>
  <c r="E330" i="143"/>
  <c r="J330" i="143"/>
  <c r="H330" i="143"/>
  <c r="D331" i="143"/>
  <c r="G330" i="143"/>
  <c r="I330" i="143"/>
  <c r="O328" i="143"/>
  <c r="P328" i="143"/>
  <c r="R328" i="143" s="1"/>
  <c r="N329" i="143"/>
  <c r="Q329" i="143" a="1"/>
  <c r="Q329" i="143" s="1"/>
  <c r="K329" i="143" a="1"/>
  <c r="K329" i="143" s="1"/>
  <c r="U31" i="282" l="1"/>
  <c r="U34" i="282"/>
  <c r="V330" i="143" a="1"/>
  <c r="V330" i="143" s="1"/>
  <c r="W330" i="143" a="1"/>
  <c r="W330" i="143" s="1"/>
  <c r="U330" i="143" a="1"/>
  <c r="U330" i="143" s="1"/>
  <c r="Z330" i="143" s="1"/>
  <c r="AC329" i="143"/>
  <c r="AD328" i="143"/>
  <c r="AE328" i="143" s="1"/>
  <c r="AB329" i="143"/>
  <c r="I331" i="143"/>
  <c r="D332" i="143"/>
  <c r="F331" i="143"/>
  <c r="J331" i="143"/>
  <c r="G331" i="143"/>
  <c r="E331" i="143"/>
  <c r="H331" i="143"/>
  <c r="P329" i="143"/>
  <c r="R329" i="143" s="1"/>
  <c r="O329" i="143"/>
  <c r="N330" i="143"/>
  <c r="Q330" i="143" a="1"/>
  <c r="Q330" i="143" s="1"/>
  <c r="K330" i="143" a="1"/>
  <c r="K330" i="143" s="1"/>
  <c r="V21" i="282" s="1" a="1"/>
  <c r="V21" i="282" s="1"/>
  <c r="AA329" i="143"/>
  <c r="W21" i="282" l="1" a="1"/>
  <c r="W21" i="282" s="1"/>
  <c r="W331" i="143" a="1"/>
  <c r="W331" i="143" s="1"/>
  <c r="U331" i="143" a="1"/>
  <c r="U331" i="143" s="1"/>
  <c r="Z331" i="143" s="1"/>
  <c r="V331" i="143" a="1"/>
  <c r="V331" i="143" s="1"/>
  <c r="V31" i="282"/>
  <c r="V34" i="282"/>
  <c r="AC330" i="143"/>
  <c r="AD329" i="143"/>
  <c r="AE329" i="143" s="1"/>
  <c r="AA330" i="143"/>
  <c r="P330" i="143"/>
  <c r="R330" i="143" s="1"/>
  <c r="O330" i="143"/>
  <c r="J332" i="143"/>
  <c r="I332" i="143"/>
  <c r="H332" i="143"/>
  <c r="G332" i="143"/>
  <c r="D333" i="143"/>
  <c r="F332" i="143"/>
  <c r="E332" i="143"/>
  <c r="AB330" i="143"/>
  <c r="N331" i="143"/>
  <c r="K331" i="143" a="1"/>
  <c r="K331" i="143" s="1"/>
  <c r="Q331" i="143" a="1"/>
  <c r="Q331" i="143" s="1"/>
  <c r="W34" i="282" l="1"/>
  <c r="W31" i="282"/>
  <c r="W332" i="143" a="1"/>
  <c r="W332" i="143" s="1"/>
  <c r="U332" i="143" a="1"/>
  <c r="U332" i="143" s="1"/>
  <c r="Z332" i="143" s="1"/>
  <c r="V332" i="143" a="1"/>
  <c r="V332" i="143" s="1"/>
  <c r="AC331" i="143"/>
  <c r="AA331" i="143"/>
  <c r="AB331" i="143"/>
  <c r="AD330" i="143"/>
  <c r="AE330" i="143" s="1"/>
  <c r="N332" i="143"/>
  <c r="K332" i="143" a="1"/>
  <c r="K332" i="143" s="1"/>
  <c r="Q332" i="143" a="1"/>
  <c r="Q332" i="143" s="1"/>
  <c r="I333" i="143"/>
  <c r="J333" i="143"/>
  <c r="F333" i="143"/>
  <c r="G333" i="143"/>
  <c r="E333" i="143"/>
  <c r="H333" i="143"/>
  <c r="D334" i="143"/>
  <c r="P331" i="143"/>
  <c r="R331" i="143" s="1"/>
  <c r="O331" i="143"/>
  <c r="Y21" i="282" l="1" a="1"/>
  <c r="Y21" i="282" s="1"/>
  <c r="V333" i="143" a="1"/>
  <c r="V333" i="143" s="1"/>
  <c r="W333" i="143" a="1"/>
  <c r="W333" i="143" s="1"/>
  <c r="U333" i="143" a="1"/>
  <c r="U333" i="143" s="1"/>
  <c r="Z333" i="143" s="1"/>
  <c r="AC332" i="143"/>
  <c r="AD331" i="143"/>
  <c r="AE331" i="143" s="1"/>
  <c r="AB332" i="143"/>
  <c r="Q333" i="143" a="1"/>
  <c r="Q333" i="143" s="1"/>
  <c r="N333" i="143"/>
  <c r="K333" i="143" a="1"/>
  <c r="K333" i="143" s="1"/>
  <c r="G334" i="143"/>
  <c r="I334" i="143"/>
  <c r="F334" i="143"/>
  <c r="E334" i="143"/>
  <c r="J334" i="143"/>
  <c r="D335" i="143"/>
  <c r="H334" i="143"/>
  <c r="AA332" i="143"/>
  <c r="O332" i="143"/>
  <c r="P332" i="143"/>
  <c r="R332" i="143" s="1"/>
  <c r="Y34" i="282" l="1"/>
  <c r="Y31" i="282"/>
  <c r="U334" i="143" a="1"/>
  <c r="U334" i="143" s="1"/>
  <c r="Z334" i="143" s="1"/>
  <c r="V334" i="143" a="1"/>
  <c r="V334" i="143" s="1"/>
  <c r="W334" i="143" a="1"/>
  <c r="W334" i="143" s="1"/>
  <c r="AC333" i="143"/>
  <c r="AD332" i="143"/>
  <c r="AE332" i="143" s="1"/>
  <c r="O333" i="143"/>
  <c r="P333" i="143"/>
  <c r="R333" i="143" s="1"/>
  <c r="AA333" i="143" s="1"/>
  <c r="E335" i="143"/>
  <c r="G335" i="143"/>
  <c r="F335" i="143"/>
  <c r="I335" i="143"/>
  <c r="J335" i="143"/>
  <c r="H335" i="143"/>
  <c r="D336" i="143"/>
  <c r="K334" i="143" a="1"/>
  <c r="K334" i="143" s="1"/>
  <c r="Z21" i="282" s="1" a="1"/>
  <c r="Z21" i="282" s="1"/>
  <c r="Q334" i="143" a="1"/>
  <c r="Q334" i="143" s="1"/>
  <c r="N334" i="143"/>
  <c r="AB333" i="143"/>
  <c r="U335" i="143" l="1" a="1"/>
  <c r="U335" i="143" s="1"/>
  <c r="Z335" i="143" s="1"/>
  <c r="W335" i="143" a="1"/>
  <c r="W335" i="143" s="1"/>
  <c r="V335" i="143" a="1"/>
  <c r="V335" i="143" s="1"/>
  <c r="Z31" i="282"/>
  <c r="Z34" i="282"/>
  <c r="AC334" i="143"/>
  <c r="AD333" i="143"/>
  <c r="AE333" i="143" s="1"/>
  <c r="AB334" i="143"/>
  <c r="O334" i="143"/>
  <c r="P334" i="143"/>
  <c r="R334" i="143" s="1"/>
  <c r="AA334" i="143" s="1"/>
  <c r="H336" i="143"/>
  <c r="I336" i="143"/>
  <c r="F336" i="143"/>
  <c r="D337" i="143"/>
  <c r="G336" i="143"/>
  <c r="E336" i="143"/>
  <c r="J336" i="143"/>
  <c r="Q335" i="143" a="1"/>
  <c r="Q335" i="143" s="1"/>
  <c r="K335" i="143" a="1"/>
  <c r="K335" i="143" s="1"/>
  <c r="N335" i="143"/>
  <c r="V336" i="143" l="1" a="1"/>
  <c r="V336" i="143" s="1"/>
  <c r="W336" i="143" a="1"/>
  <c r="W336" i="143" s="1"/>
  <c r="U336" i="143" a="1"/>
  <c r="U336" i="143" s="1"/>
  <c r="Z336" i="143" s="1"/>
  <c r="AC335" i="143"/>
  <c r="AB335" i="143"/>
  <c r="AD334" i="143"/>
  <c r="AE334" i="143" s="1"/>
  <c r="O335" i="143"/>
  <c r="P335" i="143"/>
  <c r="R335" i="143" s="1"/>
  <c r="AA335" i="143"/>
  <c r="Q336" i="143" a="1"/>
  <c r="Q336" i="143" s="1"/>
  <c r="K336" i="143" a="1"/>
  <c r="K336" i="143" s="1"/>
  <c r="N336" i="143"/>
  <c r="J337" i="143"/>
  <c r="D338" i="143"/>
  <c r="F337" i="143"/>
  <c r="G337" i="143"/>
  <c r="H337" i="143"/>
  <c r="E337" i="143"/>
  <c r="I337" i="143"/>
  <c r="V337" i="143" l="1" a="1"/>
  <c r="V337" i="143" s="1"/>
  <c r="U337" i="143" a="1"/>
  <c r="U337" i="143" s="1"/>
  <c r="Z337" i="143" s="1"/>
  <c r="W337" i="143" a="1"/>
  <c r="W337" i="143" s="1"/>
  <c r="AC21" i="282" a="1"/>
  <c r="AC21" i="282" s="1"/>
  <c r="AC336" i="143"/>
  <c r="AD335" i="143"/>
  <c r="AE335" i="143" s="1"/>
  <c r="AB336" i="143"/>
  <c r="I338" i="143"/>
  <c r="D339" i="143"/>
  <c r="H338" i="143"/>
  <c r="J338" i="143"/>
  <c r="G338" i="143"/>
  <c r="F338" i="143"/>
  <c r="E338" i="143"/>
  <c r="AA336" i="143"/>
  <c r="P336" i="143"/>
  <c r="R336" i="143" s="1"/>
  <c r="O336" i="143"/>
  <c r="K337" i="143" a="1"/>
  <c r="K337" i="143" s="1"/>
  <c r="N337" i="143"/>
  <c r="Q337" i="143" a="1"/>
  <c r="Q337" i="143" s="1"/>
  <c r="AC31" i="282" l="1"/>
  <c r="AC34" i="282"/>
  <c r="AD21" i="282" a="1"/>
  <c r="AD21" i="282" s="1"/>
  <c r="W338" i="143" a="1"/>
  <c r="W338" i="143" s="1"/>
  <c r="U338" i="143" a="1"/>
  <c r="U338" i="143" s="1"/>
  <c r="Z338" i="143" s="1"/>
  <c r="V338" i="143" a="1"/>
  <c r="V338" i="143" s="1"/>
  <c r="AC337" i="143"/>
  <c r="AB337" i="143"/>
  <c r="AD336" i="143"/>
  <c r="AE336" i="143" s="1"/>
  <c r="F339" i="143"/>
  <c r="J339" i="143"/>
  <c r="G339" i="143"/>
  <c r="D340" i="143"/>
  <c r="E339" i="143"/>
  <c r="I339" i="143"/>
  <c r="H339" i="143"/>
  <c r="Q338" i="143" a="1"/>
  <c r="Q338" i="143" s="1"/>
  <c r="K338" i="143" a="1"/>
  <c r="K338" i="143" s="1"/>
  <c r="N338" i="143"/>
  <c r="P337" i="143"/>
  <c r="R337" i="143" s="1"/>
  <c r="O337" i="143"/>
  <c r="AA337" i="143"/>
  <c r="AD34" i="282" l="1"/>
  <c r="AD31" i="282"/>
  <c r="U339" i="143" a="1"/>
  <c r="U339" i="143" s="1"/>
  <c r="Z339" i="143" s="1"/>
  <c r="V339" i="143" a="1"/>
  <c r="V339" i="143" s="1"/>
  <c r="W339" i="143" a="1"/>
  <c r="W339" i="143" s="1"/>
  <c r="AC338" i="143"/>
  <c r="AA338" i="143"/>
  <c r="AD337" i="143"/>
  <c r="AE337" i="143" s="1"/>
  <c r="AB338" i="143"/>
  <c r="E340" i="143"/>
  <c r="D341" i="143"/>
  <c r="I340" i="143"/>
  <c r="G340" i="143"/>
  <c r="J340" i="143"/>
  <c r="F340" i="143"/>
  <c r="H340" i="143"/>
  <c r="P338" i="143"/>
  <c r="R338" i="143" s="1"/>
  <c r="O338" i="143"/>
  <c r="Q339" i="143" a="1"/>
  <c r="Q339" i="143" s="1"/>
  <c r="K339" i="143" a="1"/>
  <c r="K339" i="143" s="1"/>
  <c r="N339" i="143"/>
  <c r="AF21" i="282" l="1" a="1"/>
  <c r="AF21" i="282" s="1"/>
  <c r="U340" i="143" a="1"/>
  <c r="U340" i="143" s="1"/>
  <c r="Z340" i="143" s="1"/>
  <c r="W340" i="143" a="1"/>
  <c r="W340" i="143" s="1"/>
  <c r="V340" i="143" a="1"/>
  <c r="V340" i="143" s="1"/>
  <c r="AC339" i="143"/>
  <c r="AD338" i="143"/>
  <c r="AE338" i="143" s="1"/>
  <c r="Q340" i="143" a="1"/>
  <c r="Q340" i="143" s="1"/>
  <c r="N340" i="143"/>
  <c r="K340" i="143" a="1"/>
  <c r="K340" i="143" s="1"/>
  <c r="H341" i="143"/>
  <c r="J341" i="143"/>
  <c r="G341" i="143"/>
  <c r="I341" i="143"/>
  <c r="F341" i="143"/>
  <c r="D342" i="143"/>
  <c r="E341" i="143"/>
  <c r="O339" i="143"/>
  <c r="P339" i="143"/>
  <c r="R339" i="143" s="1"/>
  <c r="AA339" i="143"/>
  <c r="AB339" i="143"/>
  <c r="AF31" i="282" l="1"/>
  <c r="AF34" i="282"/>
  <c r="W341" i="143" a="1"/>
  <c r="W341" i="143" s="1"/>
  <c r="V341" i="143" a="1"/>
  <c r="V341" i="143" s="1"/>
  <c r="U341" i="143" a="1"/>
  <c r="U341" i="143" s="1"/>
  <c r="Z341" i="143" s="1"/>
  <c r="AC340" i="143"/>
  <c r="AA340" i="143"/>
  <c r="AB340" i="143"/>
  <c r="G342" i="143"/>
  <c r="J342" i="143"/>
  <c r="F342" i="143"/>
  <c r="I342" i="143"/>
  <c r="E342" i="143"/>
  <c r="H342" i="143"/>
  <c r="D343" i="143"/>
  <c r="N341" i="143"/>
  <c r="Q341" i="143" a="1"/>
  <c r="Q341" i="143" s="1"/>
  <c r="K341" i="143" a="1"/>
  <c r="K341" i="143" s="1"/>
  <c r="AD339" i="143"/>
  <c r="AE339" i="143" s="1"/>
  <c r="P340" i="143"/>
  <c r="R340" i="143" s="1"/>
  <c r="O340" i="143"/>
  <c r="U342" i="143" l="1" a="1"/>
  <c r="U342" i="143" s="1"/>
  <c r="Z342" i="143" s="1"/>
  <c r="V342" i="143" a="1"/>
  <c r="V342" i="143" s="1"/>
  <c r="W342" i="143" a="1"/>
  <c r="W342" i="143" s="1"/>
  <c r="AC341" i="143"/>
  <c r="AD340" i="143"/>
  <c r="AE340" i="143" s="1"/>
  <c r="AB341" i="143"/>
  <c r="P341" i="143"/>
  <c r="R341" i="143" s="1"/>
  <c r="O341" i="143"/>
  <c r="J343" i="143"/>
  <c r="H343" i="143"/>
  <c r="D344" i="143"/>
  <c r="F343" i="143"/>
  <c r="I343" i="143"/>
  <c r="G343" i="143"/>
  <c r="E343" i="143"/>
  <c r="Q342" i="143" a="1"/>
  <c r="Q342" i="143" s="1"/>
  <c r="N342" i="143"/>
  <c r="K342" i="143" a="1"/>
  <c r="K342" i="143" s="1"/>
  <c r="AA341" i="143"/>
  <c r="W343" i="143" l="1" a="1"/>
  <c r="W343" i="143" s="1"/>
  <c r="V343" i="143" a="1"/>
  <c r="V343" i="143" s="1"/>
  <c r="U343" i="143" a="1"/>
  <c r="U343" i="143" s="1"/>
  <c r="Z343" i="143" s="1"/>
  <c r="AC342" i="143"/>
  <c r="AD341" i="143"/>
  <c r="AE341" i="143" s="1"/>
  <c r="AB342" i="143"/>
  <c r="O342" i="143"/>
  <c r="P342" i="143"/>
  <c r="R342" i="143" s="1"/>
  <c r="D345" i="143"/>
  <c r="H344" i="143"/>
  <c r="F344" i="143"/>
  <c r="G344" i="143"/>
  <c r="E344" i="143"/>
  <c r="I344" i="143"/>
  <c r="J344" i="143"/>
  <c r="AA342" i="143"/>
  <c r="N343" i="143"/>
  <c r="K343" i="143" a="1"/>
  <c r="K343" i="143" s="1"/>
  <c r="AI21" i="282" s="1" a="1"/>
  <c r="AI21" i="282" s="1"/>
  <c r="Q343" i="143" a="1"/>
  <c r="Q343" i="143" s="1"/>
  <c r="U344" i="143" l="1" a="1"/>
  <c r="U344" i="143" s="1"/>
  <c r="Z344" i="143" s="1"/>
  <c r="V344" i="143" a="1"/>
  <c r="V344" i="143" s="1"/>
  <c r="W344" i="143" a="1"/>
  <c r="W344" i="143" s="1"/>
  <c r="F21" i="281" a="1"/>
  <c r="F21" i="281" s="1"/>
  <c r="AI34" i="282"/>
  <c r="AI31" i="282"/>
  <c r="AC343" i="143"/>
  <c r="AD342" i="143"/>
  <c r="AE342" i="143" s="1"/>
  <c r="AB343" i="143"/>
  <c r="D346" i="143"/>
  <c r="H345" i="143"/>
  <c r="F345" i="143"/>
  <c r="E345" i="143"/>
  <c r="G345" i="143"/>
  <c r="J345" i="143"/>
  <c r="I345" i="143"/>
  <c r="K344" i="143" a="1"/>
  <c r="K344" i="143" s="1"/>
  <c r="Q344" i="143" a="1"/>
  <c r="Q344" i="143" s="1"/>
  <c r="N344" i="143"/>
  <c r="P343" i="143"/>
  <c r="R343" i="143" s="1"/>
  <c r="AA343" i="143" s="1"/>
  <c r="O343" i="143"/>
  <c r="F31" i="281" l="1"/>
  <c r="F34" i="281"/>
  <c r="V345" i="143" a="1"/>
  <c r="V345" i="143" s="1"/>
  <c r="W345" i="143" a="1"/>
  <c r="W345" i="143" s="1"/>
  <c r="U345" i="143" a="1"/>
  <c r="U345" i="143" s="1"/>
  <c r="Z345" i="143" s="1"/>
  <c r="G21" i="281" a="1"/>
  <c r="G21" i="281" s="1"/>
  <c r="AC344" i="143"/>
  <c r="AA344" i="143"/>
  <c r="AD343" i="143"/>
  <c r="AE343" i="143" s="1"/>
  <c r="AB344" i="143"/>
  <c r="O344" i="143"/>
  <c r="P344" i="143"/>
  <c r="R344" i="143" s="1"/>
  <c r="N345" i="143"/>
  <c r="K345" i="143" a="1"/>
  <c r="K345" i="143" s="1"/>
  <c r="Q345" i="143" a="1"/>
  <c r="Q345" i="143" s="1"/>
  <c r="J346" i="143"/>
  <c r="G346" i="143"/>
  <c r="E346" i="143"/>
  <c r="F346" i="143"/>
  <c r="H346" i="143"/>
  <c r="D347" i="143"/>
  <c r="I346" i="143"/>
  <c r="G31" i="281" l="1"/>
  <c r="G34" i="281"/>
  <c r="H21" i="281" a="1"/>
  <c r="H21" i="281" s="1"/>
  <c r="U346" i="143" a="1"/>
  <c r="U346" i="143" s="1"/>
  <c r="Z346" i="143" s="1"/>
  <c r="V346" i="143" a="1"/>
  <c r="V346" i="143" s="1"/>
  <c r="W346" i="143" a="1"/>
  <c r="W346" i="143" s="1"/>
  <c r="AC345" i="143"/>
  <c r="AD344" i="143"/>
  <c r="AE344" i="143" s="1"/>
  <c r="AB345" i="143"/>
  <c r="H347" i="143"/>
  <c r="D348" i="143"/>
  <c r="F347" i="143"/>
  <c r="I347" i="143"/>
  <c r="E347" i="143"/>
  <c r="G347" i="143"/>
  <c r="J347" i="143"/>
  <c r="AA345" i="143"/>
  <c r="O345" i="143"/>
  <c r="P345" i="143"/>
  <c r="R345" i="143" s="1"/>
  <c r="N346" i="143"/>
  <c r="Q346" i="143" a="1"/>
  <c r="Q346" i="143" s="1"/>
  <c r="K346" i="143" a="1"/>
  <c r="K346" i="143" s="1"/>
  <c r="H31" i="281" l="1"/>
  <c r="H34" i="281"/>
  <c r="W347" i="143" a="1"/>
  <c r="W347" i="143" s="1"/>
  <c r="U347" i="143" a="1"/>
  <c r="U347" i="143" s="1"/>
  <c r="Z347" i="143" s="1"/>
  <c r="V347" i="143" a="1"/>
  <c r="V347" i="143" s="1"/>
  <c r="AC346" i="143"/>
  <c r="N347" i="143"/>
  <c r="Q347" i="143" a="1"/>
  <c r="Q347" i="143" s="1"/>
  <c r="K347" i="143" a="1"/>
  <c r="K347" i="143" s="1"/>
  <c r="I21" i="281" s="1" a="1"/>
  <c r="I21" i="281" s="1"/>
  <c r="F348" i="143"/>
  <c r="D349" i="143"/>
  <c r="J348" i="143"/>
  <c r="I348" i="143"/>
  <c r="E348" i="143"/>
  <c r="G348" i="143"/>
  <c r="H348" i="143"/>
  <c r="AD345" i="143"/>
  <c r="AE345" i="143" s="1"/>
  <c r="AA346" i="143"/>
  <c r="P346" i="143"/>
  <c r="R346" i="143" s="1"/>
  <c r="O346" i="143"/>
  <c r="AB346" i="143"/>
  <c r="I31" i="281" l="1"/>
  <c r="I34" i="281"/>
  <c r="U348" i="143" a="1"/>
  <c r="U348" i="143" s="1"/>
  <c r="Z348" i="143" s="1"/>
  <c r="V348" i="143" a="1"/>
  <c r="V348" i="143" s="1"/>
  <c r="W348" i="143" a="1"/>
  <c r="W348" i="143" s="1"/>
  <c r="AC347" i="143"/>
  <c r="AA347" i="143"/>
  <c r="AD346" i="143"/>
  <c r="AE346" i="143" s="1"/>
  <c r="AB347" i="143"/>
  <c r="Q348" i="143" a="1"/>
  <c r="Q348" i="143" s="1"/>
  <c r="K348" i="143" a="1"/>
  <c r="K348" i="143" s="1"/>
  <c r="J21" i="281" s="1" a="1"/>
  <c r="J21" i="281" s="1"/>
  <c r="N348" i="143"/>
  <c r="F349" i="143"/>
  <c r="E349" i="143"/>
  <c r="D350" i="143"/>
  <c r="J349" i="143"/>
  <c r="I349" i="143"/>
  <c r="G349" i="143"/>
  <c r="H349" i="143"/>
  <c r="O347" i="143"/>
  <c r="P347" i="143"/>
  <c r="R347" i="143" s="1"/>
  <c r="J31" i="281" l="1"/>
  <c r="J34" i="281"/>
  <c r="K21" i="281" a="1"/>
  <c r="K21" i="281" s="1"/>
  <c r="W349" i="143" a="1"/>
  <c r="W349" i="143" s="1"/>
  <c r="U349" i="143" a="1"/>
  <c r="U349" i="143" s="1"/>
  <c r="Z349" i="143" s="1"/>
  <c r="V349" i="143" a="1"/>
  <c r="V349" i="143" s="1"/>
  <c r="AC348" i="143"/>
  <c r="AB348" i="143"/>
  <c r="AD347" i="143"/>
  <c r="AE347" i="143" s="1"/>
  <c r="Q349" i="143" a="1"/>
  <c r="Q349" i="143" s="1"/>
  <c r="N349" i="143"/>
  <c r="K349" i="143" a="1"/>
  <c r="K349" i="143" s="1"/>
  <c r="O348" i="143"/>
  <c r="P348" i="143"/>
  <c r="R348" i="143" s="1"/>
  <c r="AA348" i="143"/>
  <c r="H350" i="143"/>
  <c r="F350" i="143"/>
  <c r="E350" i="143"/>
  <c r="J350" i="143"/>
  <c r="I350" i="143"/>
  <c r="G350" i="143"/>
  <c r="D351" i="143"/>
  <c r="K34" i="281" l="1"/>
  <c r="K31" i="281"/>
  <c r="V350" i="143" a="1"/>
  <c r="V350" i="143" s="1"/>
  <c r="U350" i="143" a="1"/>
  <c r="U350" i="143" s="1"/>
  <c r="Z350" i="143" s="1"/>
  <c r="W350" i="143" a="1"/>
  <c r="W350" i="143" s="1"/>
  <c r="AC349" i="143"/>
  <c r="AD348" i="143"/>
  <c r="AE348" i="143" s="1"/>
  <c r="AA349" i="143"/>
  <c r="H351" i="143"/>
  <c r="D352" i="143"/>
  <c r="G351" i="143"/>
  <c r="F351" i="143"/>
  <c r="E351" i="143"/>
  <c r="I351" i="143"/>
  <c r="J351" i="143"/>
  <c r="N350" i="143"/>
  <c r="K350" i="143" a="1"/>
  <c r="K350" i="143" s="1"/>
  <c r="L21" i="281" s="1" a="1"/>
  <c r="L21" i="281" s="1"/>
  <c r="Q350" i="143" a="1"/>
  <c r="Q350" i="143" s="1"/>
  <c r="AB349" i="143"/>
  <c r="P349" i="143"/>
  <c r="R349" i="143" s="1"/>
  <c r="O349" i="143"/>
  <c r="U351" i="143" l="1" a="1"/>
  <c r="U351" i="143" s="1"/>
  <c r="Z351" i="143" s="1"/>
  <c r="V351" i="143" a="1"/>
  <c r="V351" i="143" s="1"/>
  <c r="W351" i="143" a="1"/>
  <c r="W351" i="143" s="1"/>
  <c r="M21" i="281" a="1"/>
  <c r="M21" i="281" s="1"/>
  <c r="L31" i="281"/>
  <c r="L34" i="281"/>
  <c r="AC350" i="143"/>
  <c r="AD349" i="143"/>
  <c r="AE349" i="143" s="1"/>
  <c r="AA350" i="143"/>
  <c r="AB350" i="143"/>
  <c r="P350" i="143"/>
  <c r="R350" i="143" s="1"/>
  <c r="O350" i="143"/>
  <c r="K351" i="143" a="1"/>
  <c r="K351" i="143" s="1"/>
  <c r="Q351" i="143" a="1"/>
  <c r="Q351" i="143" s="1"/>
  <c r="N351" i="143"/>
  <c r="F352" i="143"/>
  <c r="E352" i="143"/>
  <c r="I352" i="143"/>
  <c r="H352" i="143"/>
  <c r="D353" i="143"/>
  <c r="G352" i="143"/>
  <c r="J352" i="143"/>
  <c r="M34" i="281" l="1"/>
  <c r="M31" i="281"/>
  <c r="W352" i="143" a="1"/>
  <c r="W352" i="143" s="1"/>
  <c r="V352" i="143" a="1"/>
  <c r="V352" i="143" s="1"/>
  <c r="U352" i="143" a="1"/>
  <c r="U352" i="143" s="1"/>
  <c r="Z352" i="143" s="1"/>
  <c r="AC351" i="143"/>
  <c r="AA351" i="143"/>
  <c r="AD350" i="143"/>
  <c r="AE350" i="143" s="1"/>
  <c r="N352" i="143"/>
  <c r="Q352" i="143" a="1"/>
  <c r="Q352" i="143" s="1"/>
  <c r="K352" i="143" a="1"/>
  <c r="K352" i="143" s="1"/>
  <c r="O351" i="143"/>
  <c r="P351" i="143"/>
  <c r="R351" i="143" s="1"/>
  <c r="AB351" i="143"/>
  <c r="E353" i="143"/>
  <c r="I353" i="143"/>
  <c r="D354" i="143"/>
  <c r="J353" i="143"/>
  <c r="G353" i="143"/>
  <c r="F353" i="143"/>
  <c r="H353" i="143"/>
  <c r="O21" i="281" l="1" a="1"/>
  <c r="O21" i="281" s="1"/>
  <c r="U353" i="143" a="1"/>
  <c r="U353" i="143" s="1"/>
  <c r="Z353" i="143" s="1"/>
  <c r="V353" i="143" a="1"/>
  <c r="V353" i="143" s="1"/>
  <c r="W353" i="143" a="1"/>
  <c r="W353" i="143" s="1"/>
  <c r="AC352" i="143"/>
  <c r="AA352" i="143"/>
  <c r="AB352" i="143"/>
  <c r="AD351" i="143"/>
  <c r="AE351" i="143" s="1"/>
  <c r="I354" i="143"/>
  <c r="J354" i="143"/>
  <c r="E354" i="143"/>
  <c r="D355" i="143"/>
  <c r="G354" i="143"/>
  <c r="F354" i="143"/>
  <c r="H354" i="143"/>
  <c r="P352" i="143"/>
  <c r="R352" i="143" s="1"/>
  <c r="O352" i="143"/>
  <c r="N353" i="143"/>
  <c r="K353" i="143" a="1"/>
  <c r="K353" i="143" s="1"/>
  <c r="Q353" i="143" a="1"/>
  <c r="Q353" i="143" s="1"/>
  <c r="O31" i="281" l="1"/>
  <c r="O34" i="281"/>
  <c r="W354" i="143" a="1"/>
  <c r="W354" i="143" s="1"/>
  <c r="V354" i="143" a="1"/>
  <c r="V354" i="143" s="1"/>
  <c r="U354" i="143" a="1"/>
  <c r="U354" i="143" s="1"/>
  <c r="Z354" i="143" s="1"/>
  <c r="AC353" i="143"/>
  <c r="AD352" i="143"/>
  <c r="AE352" i="143" s="1"/>
  <c r="AA353" i="143"/>
  <c r="AB353" i="143"/>
  <c r="I355" i="143"/>
  <c r="G355" i="143"/>
  <c r="F355" i="143"/>
  <c r="J355" i="143"/>
  <c r="D356" i="143"/>
  <c r="H355" i="143"/>
  <c r="E355" i="143"/>
  <c r="P353" i="143"/>
  <c r="R353" i="143" s="1"/>
  <c r="O353" i="143"/>
  <c r="N354" i="143"/>
  <c r="Q354" i="143" a="1"/>
  <c r="Q354" i="143" s="1"/>
  <c r="K354" i="143" a="1"/>
  <c r="K354" i="143" s="1"/>
  <c r="P21" i="281" s="1" a="1"/>
  <c r="P21" i="281" s="1"/>
  <c r="W355" i="143" l="1" a="1"/>
  <c r="W355" i="143" s="1"/>
  <c r="V355" i="143" a="1"/>
  <c r="V355" i="143" s="1"/>
  <c r="U355" i="143" a="1"/>
  <c r="U355" i="143" s="1"/>
  <c r="Z355" i="143" s="1"/>
  <c r="Q21" i="281" a="1"/>
  <c r="Q21" i="281" s="1"/>
  <c r="P31" i="281"/>
  <c r="P34" i="281"/>
  <c r="AC354" i="143"/>
  <c r="N355" i="143"/>
  <c r="Q355" i="143" a="1"/>
  <c r="Q355" i="143" s="1"/>
  <c r="K355" i="143" a="1"/>
  <c r="K355" i="143" s="1"/>
  <c r="I356" i="143"/>
  <c r="G356" i="143"/>
  <c r="D357" i="143"/>
  <c r="F356" i="143"/>
  <c r="E356" i="143"/>
  <c r="J356" i="143"/>
  <c r="H356" i="143"/>
  <c r="AD353" i="143"/>
  <c r="AE353" i="143" s="1"/>
  <c r="AA354" i="143"/>
  <c r="O354" i="143"/>
  <c r="P354" i="143"/>
  <c r="R354" i="143" s="1"/>
  <c r="AB354" i="143"/>
  <c r="Q34" i="281" l="1"/>
  <c r="Q31" i="281"/>
  <c r="W356" i="143" a="1"/>
  <c r="W356" i="143" s="1"/>
  <c r="U356" i="143" a="1"/>
  <c r="U356" i="143" s="1"/>
  <c r="Z356" i="143" s="1"/>
  <c r="V356" i="143" a="1"/>
  <c r="V356" i="143" s="1"/>
  <c r="AC355" i="143"/>
  <c r="AA355" i="143"/>
  <c r="AB355" i="143"/>
  <c r="K356" i="143" a="1"/>
  <c r="K356" i="143" s="1"/>
  <c r="R21" i="281" s="1" a="1"/>
  <c r="R21" i="281" s="1"/>
  <c r="N356" i="143"/>
  <c r="Q356" i="143" a="1"/>
  <c r="Q356" i="143" s="1"/>
  <c r="J357" i="143"/>
  <c r="E357" i="143"/>
  <c r="I357" i="143"/>
  <c r="G357" i="143"/>
  <c r="H357" i="143"/>
  <c r="D358" i="143"/>
  <c r="F357" i="143"/>
  <c r="AD354" i="143"/>
  <c r="AE354" i="143" s="1"/>
  <c r="P355" i="143"/>
  <c r="R355" i="143" s="1"/>
  <c r="O355" i="143"/>
  <c r="R34" i="281" l="1"/>
  <c r="R31" i="281"/>
  <c r="S21" i="281" a="1"/>
  <c r="S21" i="281" s="1"/>
  <c r="U357" i="143" a="1"/>
  <c r="U357" i="143" s="1"/>
  <c r="Z357" i="143" s="1"/>
  <c r="V357" i="143" a="1"/>
  <c r="V357" i="143" s="1"/>
  <c r="W357" i="143" a="1"/>
  <c r="W357" i="143" s="1"/>
  <c r="AC356" i="143"/>
  <c r="AA356" i="143"/>
  <c r="AD355" i="143"/>
  <c r="AE355" i="143" s="1"/>
  <c r="AB356" i="143"/>
  <c r="P356" i="143"/>
  <c r="R356" i="143" s="1"/>
  <c r="O356" i="143"/>
  <c r="E358" i="143"/>
  <c r="G358" i="143"/>
  <c r="J358" i="143"/>
  <c r="D359" i="143"/>
  <c r="I358" i="143"/>
  <c r="F358" i="143"/>
  <c r="H358" i="143"/>
  <c r="N357" i="143"/>
  <c r="Q357" i="143" a="1"/>
  <c r="Q357" i="143" s="1"/>
  <c r="K357" i="143" a="1"/>
  <c r="K357" i="143" s="1"/>
  <c r="S31" i="281" l="1"/>
  <c r="S34" i="281"/>
  <c r="W358" i="143" a="1"/>
  <c r="W358" i="143" s="1"/>
  <c r="V358" i="143" a="1"/>
  <c r="V358" i="143" s="1"/>
  <c r="U358" i="143" a="1"/>
  <c r="U358" i="143" s="1"/>
  <c r="Z358" i="143" s="1"/>
  <c r="AC357" i="143"/>
  <c r="AA357" i="143"/>
  <c r="AB357" i="143"/>
  <c r="AD356" i="143"/>
  <c r="AE356" i="143" s="1"/>
  <c r="O357" i="143"/>
  <c r="P357" i="143"/>
  <c r="R357" i="143" s="1"/>
  <c r="Q358" i="143" a="1"/>
  <c r="Q358" i="143" s="1"/>
  <c r="K358" i="143" a="1"/>
  <c r="K358" i="143" s="1"/>
  <c r="N358" i="143"/>
  <c r="E359" i="143"/>
  <c r="I359" i="143"/>
  <c r="J359" i="143"/>
  <c r="G359" i="143"/>
  <c r="F359" i="143"/>
  <c r="H359" i="143"/>
  <c r="D360" i="143"/>
  <c r="U21" i="281" l="1" a="1"/>
  <c r="U21" i="281" s="1"/>
  <c r="W359" i="143" a="1"/>
  <c r="W359" i="143" s="1"/>
  <c r="V359" i="143" a="1"/>
  <c r="V359" i="143" s="1"/>
  <c r="U359" i="143" a="1"/>
  <c r="U359" i="143" s="1"/>
  <c r="Z359" i="143" s="1"/>
  <c r="AC358" i="143"/>
  <c r="AA358" i="143"/>
  <c r="AD357" i="143"/>
  <c r="AE357" i="143" s="1"/>
  <c r="AB358" i="143"/>
  <c r="E360" i="143"/>
  <c r="F360" i="143"/>
  <c r="H360" i="143"/>
  <c r="G360" i="143"/>
  <c r="I360" i="143"/>
  <c r="D361" i="143"/>
  <c r="J360" i="143"/>
  <c r="O358" i="143"/>
  <c r="P358" i="143"/>
  <c r="R358" i="143" s="1"/>
  <c r="K359" i="143" a="1"/>
  <c r="K359" i="143" s="1"/>
  <c r="N359" i="143"/>
  <c r="Q359" i="143" a="1"/>
  <c r="Q359" i="143" s="1"/>
  <c r="U31" i="281" l="1"/>
  <c r="U34" i="281"/>
  <c r="V21" i="281" a="1"/>
  <c r="V21" i="281" s="1"/>
  <c r="W360" i="143" a="1"/>
  <c r="W360" i="143" s="1"/>
  <c r="V360" i="143" a="1"/>
  <c r="V360" i="143" s="1"/>
  <c r="U360" i="143" a="1"/>
  <c r="U360" i="143" s="1"/>
  <c r="Z360" i="143" s="1"/>
  <c r="AC359" i="143"/>
  <c r="AD358" i="143"/>
  <c r="AE358" i="143" s="1"/>
  <c r="AB359" i="143"/>
  <c r="O359" i="143"/>
  <c r="P359" i="143"/>
  <c r="R359" i="143" s="1"/>
  <c r="H361" i="143"/>
  <c r="J361" i="143"/>
  <c r="D362" i="143"/>
  <c r="E361" i="143"/>
  <c r="G361" i="143"/>
  <c r="F361" i="143"/>
  <c r="I361" i="143"/>
  <c r="Q360" i="143" a="1"/>
  <c r="Q360" i="143" s="1"/>
  <c r="K360" i="143" a="1"/>
  <c r="K360" i="143" s="1"/>
  <c r="N360" i="143"/>
  <c r="AA359" i="143"/>
  <c r="V31" i="281" l="1"/>
  <c r="V34" i="281"/>
  <c r="W361" i="143" a="1"/>
  <c r="W361" i="143" s="1"/>
  <c r="V361" i="143" a="1"/>
  <c r="V361" i="143" s="1"/>
  <c r="U361" i="143" a="1"/>
  <c r="U361" i="143" s="1"/>
  <c r="Z361" i="143" s="1"/>
  <c r="W21" i="281" a="1"/>
  <c r="W21" i="281" s="1"/>
  <c r="AC360" i="143"/>
  <c r="AA360" i="143"/>
  <c r="AB360" i="143"/>
  <c r="N361" i="143"/>
  <c r="K361" i="143" a="1"/>
  <c r="K361" i="143" s="1"/>
  <c r="Q361" i="143" a="1"/>
  <c r="Q361" i="143" s="1"/>
  <c r="O360" i="143"/>
  <c r="P360" i="143"/>
  <c r="R360" i="143" s="1"/>
  <c r="J362" i="143"/>
  <c r="F362" i="143"/>
  <c r="I362" i="143"/>
  <c r="G362" i="143"/>
  <c r="H362" i="143"/>
  <c r="E362" i="143"/>
  <c r="D363" i="143"/>
  <c r="AD359" i="143"/>
  <c r="AE359" i="143" s="1"/>
  <c r="W34" i="281" l="1"/>
  <c r="W31" i="281"/>
  <c r="W362" i="143" a="1"/>
  <c r="W362" i="143" s="1"/>
  <c r="V362" i="143" a="1"/>
  <c r="V362" i="143" s="1"/>
  <c r="U362" i="143" a="1"/>
  <c r="U362" i="143" s="1"/>
  <c r="Z362" i="143" s="1"/>
  <c r="AC361" i="143"/>
  <c r="AA361" i="143"/>
  <c r="AD360" i="143"/>
  <c r="AE360" i="143" s="1"/>
  <c r="AB361" i="143"/>
  <c r="K362" i="143" a="1"/>
  <c r="K362" i="143" s="1"/>
  <c r="X21" i="281" s="1" a="1"/>
  <c r="X21" i="281" s="1"/>
  <c r="Q362" i="143" a="1"/>
  <c r="Q362" i="143" s="1"/>
  <c r="N362" i="143"/>
  <c r="E363" i="143"/>
  <c r="J363" i="143"/>
  <c r="I363" i="143"/>
  <c r="F363" i="143"/>
  <c r="G363" i="143"/>
  <c r="D364" i="143"/>
  <c r="H363" i="143"/>
  <c r="P361" i="143"/>
  <c r="R361" i="143" s="1"/>
  <c r="O361" i="143"/>
  <c r="X34" i="281" l="1"/>
  <c r="X31" i="281"/>
  <c r="Y21" i="281" a="1"/>
  <c r="Y21" i="281" s="1"/>
  <c r="W363" i="143" a="1"/>
  <c r="W363" i="143" s="1"/>
  <c r="V363" i="143" a="1"/>
  <c r="V363" i="143" s="1"/>
  <c r="U363" i="143" a="1"/>
  <c r="U363" i="143" s="1"/>
  <c r="Z363" i="143" s="1"/>
  <c r="AC362" i="143"/>
  <c r="AD361" i="143"/>
  <c r="AE361" i="143" s="1"/>
  <c r="AB362" i="143"/>
  <c r="O362" i="143"/>
  <c r="P362" i="143"/>
  <c r="R362" i="143" s="1"/>
  <c r="AA362" i="143" s="1"/>
  <c r="Q363" i="143" a="1"/>
  <c r="Q363" i="143" s="1"/>
  <c r="K363" i="143" a="1"/>
  <c r="K363" i="143" s="1"/>
  <c r="N363" i="143"/>
  <c r="G364" i="143"/>
  <c r="F364" i="143"/>
  <c r="H364" i="143"/>
  <c r="J364" i="143"/>
  <c r="E364" i="143"/>
  <c r="D365" i="143"/>
  <c r="I364" i="143"/>
  <c r="Y31" i="281" l="1"/>
  <c r="Y34" i="281"/>
  <c r="W364" i="143" a="1"/>
  <c r="W364" i="143" s="1"/>
  <c r="V364" i="143" a="1"/>
  <c r="V364" i="143" s="1"/>
  <c r="U364" i="143" a="1"/>
  <c r="U364" i="143" s="1"/>
  <c r="Z364" i="143" s="1"/>
  <c r="AC363" i="143"/>
  <c r="AD362" i="143"/>
  <c r="AE362" i="143" s="1"/>
  <c r="E365" i="143"/>
  <c r="J365" i="143"/>
  <c r="I365" i="143"/>
  <c r="H365" i="143"/>
  <c r="D366" i="143"/>
  <c r="G365" i="143"/>
  <c r="F365" i="143"/>
  <c r="AB363" i="143"/>
  <c r="O363" i="143"/>
  <c r="P363" i="143"/>
  <c r="R363" i="143" s="1"/>
  <c r="AA363" i="143" s="1"/>
  <c r="Q364" i="143" a="1"/>
  <c r="Q364" i="143" s="1"/>
  <c r="N364" i="143"/>
  <c r="K364" i="143" a="1"/>
  <c r="K364" i="143" s="1"/>
  <c r="Z21" i="281" s="1" a="1"/>
  <c r="Z21" i="281" s="1"/>
  <c r="AA21" i="281" l="1" a="1"/>
  <c r="AA21" i="281" s="1"/>
  <c r="W365" i="143" a="1"/>
  <c r="W365" i="143" s="1"/>
  <c r="V365" i="143" a="1"/>
  <c r="V365" i="143" s="1"/>
  <c r="U365" i="143" a="1"/>
  <c r="U365" i="143" s="1"/>
  <c r="Z365" i="143" s="1"/>
  <c r="Z31" i="281"/>
  <c r="Z34" i="281"/>
  <c r="AC364" i="143"/>
  <c r="AD363" i="143"/>
  <c r="AE363" i="143" s="1"/>
  <c r="AB364" i="143"/>
  <c r="N365" i="143"/>
  <c r="Q365" i="143" a="1"/>
  <c r="Q365" i="143" s="1"/>
  <c r="K365" i="143" a="1"/>
  <c r="K365" i="143" s="1"/>
  <c r="AC365" i="143" s="1"/>
  <c r="D367" i="143"/>
  <c r="E366" i="143"/>
  <c r="H366" i="143"/>
  <c r="G366" i="143"/>
  <c r="J366" i="143"/>
  <c r="F366" i="143"/>
  <c r="I366" i="143"/>
  <c r="P364" i="143"/>
  <c r="R364" i="143" s="1"/>
  <c r="AA364" i="143" s="1"/>
  <c r="O364" i="143"/>
  <c r="AA31" i="281" l="1"/>
  <c r="AA34" i="281"/>
  <c r="W366" i="143" a="1"/>
  <c r="W366" i="143" s="1"/>
  <c r="V366" i="143" a="1"/>
  <c r="V366" i="143" s="1"/>
  <c r="U366" i="143" a="1"/>
  <c r="U366" i="143" s="1"/>
  <c r="Z366" i="143" s="1"/>
  <c r="AB365" i="143"/>
  <c r="AD364" i="143"/>
  <c r="AE364" i="143" s="1"/>
  <c r="E367" i="143"/>
  <c r="I367" i="143"/>
  <c r="H367" i="143"/>
  <c r="J367" i="143"/>
  <c r="F367" i="143"/>
  <c r="G367" i="143"/>
  <c r="D368" i="143"/>
  <c r="P365" i="143"/>
  <c r="R365" i="143" s="1"/>
  <c r="AA365" i="143" s="1"/>
  <c r="O365" i="143"/>
  <c r="K366" i="143" a="1"/>
  <c r="K366" i="143" s="1"/>
  <c r="AB21" i="281" s="1" a="1"/>
  <c r="AB21" i="281" s="1"/>
  <c r="N366" i="143"/>
  <c r="Q366" i="143" a="1"/>
  <c r="Q366" i="143" s="1"/>
  <c r="AC21" i="281" l="1" a="1"/>
  <c r="AC21" i="281" s="1"/>
  <c r="W367" i="143" a="1"/>
  <c r="W367" i="143" s="1"/>
  <c r="V367" i="143" a="1"/>
  <c r="V367" i="143" s="1"/>
  <c r="U367" i="143" a="1"/>
  <c r="U367" i="143" s="1"/>
  <c r="Z367" i="143" s="1"/>
  <c r="AB34" i="281"/>
  <c r="AB31" i="281"/>
  <c r="AC366" i="143"/>
  <c r="AA366" i="143"/>
  <c r="AD365" i="143"/>
  <c r="AE365" i="143" s="1"/>
  <c r="AB366" i="143"/>
  <c r="D369" i="143"/>
  <c r="H368" i="143"/>
  <c r="I368" i="143"/>
  <c r="G368" i="143"/>
  <c r="J368" i="143"/>
  <c r="E368" i="143"/>
  <c r="F368" i="143"/>
  <c r="Q367" i="143" a="1"/>
  <c r="Q367" i="143" s="1"/>
  <c r="K367" i="143" a="1"/>
  <c r="K367" i="143" s="1"/>
  <c r="N367" i="143"/>
  <c r="P366" i="143"/>
  <c r="R366" i="143" s="1"/>
  <c r="O366" i="143"/>
  <c r="AC31" i="281" l="1"/>
  <c r="AC34" i="281"/>
  <c r="W368" i="143" a="1"/>
  <c r="W368" i="143" s="1"/>
  <c r="V368" i="143" a="1"/>
  <c r="V368" i="143" s="1"/>
  <c r="U368" i="143" a="1"/>
  <c r="U368" i="143" s="1"/>
  <c r="Z368" i="143" s="1"/>
  <c r="AC367" i="143"/>
  <c r="AD366" i="143"/>
  <c r="AE366" i="143" s="1"/>
  <c r="AB367" i="143"/>
  <c r="O367" i="143"/>
  <c r="P367" i="143"/>
  <c r="R367" i="143" s="1"/>
  <c r="AA367" i="143" s="1"/>
  <c r="K368" i="143" a="1"/>
  <c r="K368" i="143" s="1"/>
  <c r="AD21" i="281" s="1" a="1"/>
  <c r="AD21" i="281" s="1"/>
  <c r="N368" i="143"/>
  <c r="Q368" i="143" a="1"/>
  <c r="Q368" i="143" s="1"/>
  <c r="I369" i="143"/>
  <c r="J369" i="143"/>
  <c r="F369" i="143"/>
  <c r="E369" i="143"/>
  <c r="G369" i="143"/>
  <c r="D370" i="143"/>
  <c r="H369" i="143"/>
  <c r="AD31" i="281" l="1"/>
  <c r="AD34" i="281"/>
  <c r="AE21" i="281" a="1"/>
  <c r="AE21" i="281" s="1"/>
  <c r="W369" i="143" a="1"/>
  <c r="W369" i="143" s="1"/>
  <c r="V369" i="143" a="1"/>
  <c r="V369" i="143" s="1"/>
  <c r="U369" i="143" a="1"/>
  <c r="U369" i="143" s="1"/>
  <c r="Z369" i="143" s="1"/>
  <c r="AC368" i="143"/>
  <c r="AD367" i="143"/>
  <c r="AE367" i="143" s="1"/>
  <c r="P368" i="143"/>
  <c r="R368" i="143" s="1"/>
  <c r="AA368" i="143" s="1"/>
  <c r="O368" i="143"/>
  <c r="G370" i="143"/>
  <c r="H370" i="143"/>
  <c r="D371" i="143"/>
  <c r="F370" i="143"/>
  <c r="J370" i="143"/>
  <c r="E370" i="143"/>
  <c r="I370" i="143"/>
  <c r="K369" i="143" a="1"/>
  <c r="K369" i="143" s="1"/>
  <c r="Q369" i="143" a="1"/>
  <c r="Q369" i="143" s="1"/>
  <c r="N369" i="143"/>
  <c r="AB368" i="143"/>
  <c r="AE31" i="281" l="1"/>
  <c r="AE34" i="281"/>
  <c r="W370" i="143" a="1"/>
  <c r="W370" i="143" s="1"/>
  <c r="V370" i="143" a="1"/>
  <c r="V370" i="143" s="1"/>
  <c r="U370" i="143" a="1"/>
  <c r="U370" i="143" s="1"/>
  <c r="Z370" i="143" s="1"/>
  <c r="AC369" i="143"/>
  <c r="AD368" i="143"/>
  <c r="AE368" i="143" s="1"/>
  <c r="AB369" i="143"/>
  <c r="N370" i="143"/>
  <c r="Q370" i="143" a="1"/>
  <c r="Q370" i="143" s="1"/>
  <c r="K370" i="143" a="1"/>
  <c r="K370" i="143" s="1"/>
  <c r="H371" i="143"/>
  <c r="F371" i="143"/>
  <c r="D372" i="143"/>
  <c r="E371" i="143"/>
  <c r="J371" i="143"/>
  <c r="I371" i="143"/>
  <c r="G371" i="143"/>
  <c r="P369" i="143"/>
  <c r="R369" i="143" s="1"/>
  <c r="AA369" i="143" s="1"/>
  <c r="O369" i="143"/>
  <c r="W371" i="143" l="1" a="1"/>
  <c r="W371" i="143" s="1"/>
  <c r="V371" i="143" a="1"/>
  <c r="V371" i="143" s="1"/>
  <c r="U371" i="143" a="1"/>
  <c r="U371" i="143" s="1"/>
  <c r="Z371" i="143" s="1"/>
  <c r="AC370" i="143"/>
  <c r="AD369" i="143"/>
  <c r="AE369" i="143" s="1"/>
  <c r="E372" i="143"/>
  <c r="D373" i="143"/>
  <c r="H372" i="143"/>
  <c r="G372" i="143"/>
  <c r="F372" i="143"/>
  <c r="J372" i="143"/>
  <c r="I372" i="143"/>
  <c r="P370" i="143"/>
  <c r="R370" i="143" s="1"/>
  <c r="AA370" i="143" s="1"/>
  <c r="O370" i="143"/>
  <c r="Q371" i="143" a="1"/>
  <c r="Q371" i="143" s="1"/>
  <c r="N371" i="143"/>
  <c r="K371" i="143" a="1"/>
  <c r="K371" i="143" s="1"/>
  <c r="AG21" i="281" s="1" a="1"/>
  <c r="AG21" i="281" s="1"/>
  <c r="AB370" i="143"/>
  <c r="AH21" i="135" a="1"/>
  <c r="AH21" i="135" s="1"/>
  <c r="AH34" i="135" s="1"/>
  <c r="AJ21" i="135" a="1"/>
  <c r="AJ21" i="135" s="1"/>
  <c r="AJ34" i="135" s="1"/>
  <c r="AI21" i="135" a="1"/>
  <c r="AI21" i="135" s="1"/>
  <c r="AI34" i="135" s="1"/>
  <c r="W372" i="143" l="1" a="1"/>
  <c r="W372" i="143" s="1"/>
  <c r="V372" i="143" a="1"/>
  <c r="V372" i="143" s="1"/>
  <c r="U372" i="143" a="1"/>
  <c r="U372" i="143" s="1"/>
  <c r="Z372" i="143" s="1"/>
  <c r="AG34" i="281"/>
  <c r="AG31" i="281"/>
  <c r="AC371" i="143"/>
  <c r="AL21" i="135" a="1"/>
  <c r="AL21" i="135" s="1"/>
  <c r="J174" i="145" s="1"/>
  <c r="AA371" i="143"/>
  <c r="AD370" i="143"/>
  <c r="AE370" i="143" s="1"/>
  <c r="AB371" i="143"/>
  <c r="P371" i="143"/>
  <c r="R371" i="143" s="1"/>
  <c r="O371" i="143"/>
  <c r="N372" i="143"/>
  <c r="Q372" i="143" a="1"/>
  <c r="Q372" i="143" s="1"/>
  <c r="K372" i="143" a="1"/>
  <c r="K372" i="143" s="1"/>
  <c r="AH21" i="281" s="1" a="1"/>
  <c r="AH21" i="281" s="1"/>
  <c r="H373" i="143"/>
  <c r="D374" i="143"/>
  <c r="I373" i="143"/>
  <c r="J373" i="143"/>
  <c r="G373" i="143"/>
  <c r="E373" i="143"/>
  <c r="F373" i="143"/>
  <c r="AI31" i="135"/>
  <c r="AJ31" i="135"/>
  <c r="AH31" i="135"/>
  <c r="AM21" i="135"/>
  <c r="J173" i="145" s="1"/>
  <c r="AH31" i="281" l="1"/>
  <c r="AH34" i="281"/>
  <c r="W373" i="143" a="1"/>
  <c r="W373" i="143" s="1"/>
  <c r="V373" i="143" a="1"/>
  <c r="V373" i="143" s="1"/>
  <c r="U373" i="143" a="1"/>
  <c r="U373" i="143" s="1"/>
  <c r="Z373" i="143" s="1"/>
  <c r="AI21" i="281" a="1"/>
  <c r="AI21" i="281" s="1"/>
  <c r="AC372" i="143"/>
  <c r="AD371" i="143"/>
  <c r="AE371" i="143" s="1"/>
  <c r="AA372" i="143"/>
  <c r="AB372" i="143"/>
  <c r="O372" i="143"/>
  <c r="P372" i="143"/>
  <c r="I374" i="143"/>
  <c r="G374" i="143"/>
  <c r="E374" i="143"/>
  <c r="J374" i="143"/>
  <c r="F374" i="143"/>
  <c r="H374" i="143"/>
  <c r="D375" i="143"/>
  <c r="C375" i="143" s="1"/>
  <c r="Q373" i="143" a="1"/>
  <c r="Q373" i="143" s="1"/>
  <c r="N373" i="143"/>
  <c r="K373" i="143" a="1"/>
  <c r="K373" i="143" s="1"/>
  <c r="AL34" i="135"/>
  <c r="AL31" i="135"/>
  <c r="J123" i="145" s="1"/>
  <c r="J94" i="145" s="1"/>
  <c r="AI34" i="281" l="1"/>
  <c r="AI31" i="281"/>
  <c r="AJ21" i="284" a="1"/>
  <c r="AJ21" i="284" s="1"/>
  <c r="AJ21" i="281" a="1"/>
  <c r="AJ21" i="281" s="1"/>
  <c r="AJ21" i="289" a="1"/>
  <c r="AJ21" i="289" s="1"/>
  <c r="AJ21" i="287" a="1"/>
  <c r="AJ21" i="287" s="1"/>
  <c r="W374" i="143" a="1"/>
  <c r="W374" i="143" s="1"/>
  <c r="V374" i="143" a="1"/>
  <c r="V374" i="143" s="1"/>
  <c r="U374" i="143" a="1"/>
  <c r="U374" i="143" s="1"/>
  <c r="Z374" i="143" s="1"/>
  <c r="AC373" i="143"/>
  <c r="AA373" i="143"/>
  <c r="J127" i="145"/>
  <c r="H15" i="139" s="1"/>
  <c r="R372" i="143"/>
  <c r="AB373" i="143"/>
  <c r="K18" i="141"/>
  <c r="K19" i="141" s="1"/>
  <c r="K20" i="141" s="1"/>
  <c r="K374" i="143" a="1"/>
  <c r="K374" i="143" s="1"/>
  <c r="N374" i="143"/>
  <c r="Q374" i="143" a="1"/>
  <c r="Q374" i="143" s="1"/>
  <c r="P373" i="143"/>
  <c r="R373" i="143" s="1"/>
  <c r="O373" i="143"/>
  <c r="H375" i="143"/>
  <c r="J375" i="143"/>
  <c r="G375" i="143"/>
  <c r="F375" i="143"/>
  <c r="E375" i="143"/>
  <c r="AJ21" i="282" s="1" a="1"/>
  <c r="AJ21" i="282" s="1"/>
  <c r="I375" i="143"/>
  <c r="N375" i="143" s="1"/>
  <c r="O375" i="143" s="1"/>
  <c r="AD372" i="143"/>
  <c r="AE372" i="143" s="1"/>
  <c r="L13" i="141" l="1"/>
  <c r="T18" i="141"/>
  <c r="T19" i="141" s="1"/>
  <c r="T20" i="141" s="1"/>
  <c r="AJ34" i="284"/>
  <c r="AJ31" i="284"/>
  <c r="AJ31" i="281"/>
  <c r="AJ34" i="281"/>
  <c r="AJ34" i="282"/>
  <c r="AJ31" i="282"/>
  <c r="AJ34" i="289"/>
  <c r="AJ31" i="289"/>
  <c r="AJ34" i="287"/>
  <c r="AJ31" i="287"/>
  <c r="W375" i="143" a="1"/>
  <c r="W375" i="143" s="1"/>
  <c r="V375" i="143" a="1"/>
  <c r="V375" i="143" s="1"/>
  <c r="U375" i="143" a="1"/>
  <c r="U375" i="143" s="1"/>
  <c r="Z375" i="143" s="1"/>
  <c r="AH21" i="291" a="1"/>
  <c r="AH21" i="291" s="1"/>
  <c r="AJ21" i="291" a="1"/>
  <c r="AJ21" i="291" s="1"/>
  <c r="U12" i="141"/>
  <c r="H12" i="141"/>
  <c r="AC374" i="143"/>
  <c r="K375" i="143" a="1"/>
  <c r="K375" i="143" s="1"/>
  <c r="P375" i="143"/>
  <c r="AB12" i="141"/>
  <c r="AW12" i="141"/>
  <c r="Z13" i="141"/>
  <c r="N12" i="141"/>
  <c r="AO13" i="141"/>
  <c r="AF18" i="141"/>
  <c r="AF19" i="141" s="1"/>
  <c r="AF20" i="141" s="1"/>
  <c r="AR18" i="141"/>
  <c r="AR19" i="141" s="1"/>
  <c r="AR20" i="141" s="1"/>
  <c r="I12" i="141"/>
  <c r="AJ18" i="141"/>
  <c r="AJ19" i="141" s="1"/>
  <c r="AJ20" i="141" s="1"/>
  <c r="AA13" i="141"/>
  <c r="AY12" i="141"/>
  <c r="Y12" i="141"/>
  <c r="AN18" i="141"/>
  <c r="AN19" i="141" s="1"/>
  <c r="AN20" i="141" s="1"/>
  <c r="AT12" i="141"/>
  <c r="O13" i="141"/>
  <c r="AP12" i="141"/>
  <c r="Q18" i="141"/>
  <c r="Q19" i="141" s="1"/>
  <c r="Q20" i="141" s="1"/>
  <c r="AO18" i="141"/>
  <c r="AO19" i="141" s="1"/>
  <c r="AO20" i="141" s="1"/>
  <c r="I18" i="141"/>
  <c r="I19" i="141" s="1"/>
  <c r="I20" i="141" s="1"/>
  <c r="AQ18" i="141"/>
  <c r="AQ19" i="141" s="1"/>
  <c r="AQ20" i="141" s="1"/>
  <c r="AT13" i="141"/>
  <c r="P374" i="143"/>
  <c r="BF12" i="141" s="1"/>
  <c r="O374" i="143"/>
  <c r="AB374" i="143"/>
  <c r="S18" i="141"/>
  <c r="S19" i="141" s="1"/>
  <c r="S20" i="141" s="1"/>
  <c r="I13" i="141"/>
  <c r="J12" i="141"/>
  <c r="Y13" i="141"/>
  <c r="V12" i="141"/>
  <c r="AW13" i="141"/>
  <c r="AE12" i="141"/>
  <c r="AH12" i="141"/>
  <c r="BA12" i="141"/>
  <c r="AM18" i="141"/>
  <c r="AM19" i="141" s="1"/>
  <c r="AM20" i="141" s="1"/>
  <c r="AK18" i="141"/>
  <c r="AK19" i="141" s="1"/>
  <c r="AK20" i="141" s="1"/>
  <c r="AZ13" i="141"/>
  <c r="AR13" i="141"/>
  <c r="AD373" i="143"/>
  <c r="AE373" i="143" s="1"/>
  <c r="AG12" i="141"/>
  <c r="BE13" i="141"/>
  <c r="AR12" i="141"/>
  <c r="M12" i="141"/>
  <c r="U13" i="141"/>
  <c r="L12" i="141"/>
  <c r="U18" i="141"/>
  <c r="U19" i="141" s="1"/>
  <c r="U20" i="141" s="1"/>
  <c r="AS13" i="141"/>
  <c r="AD12" i="141"/>
  <c r="H18" i="141"/>
  <c r="H19" i="141" s="1"/>
  <c r="H20" i="141" s="1"/>
  <c r="BE12" i="141"/>
  <c r="BA18" i="141"/>
  <c r="BA19" i="141" s="1"/>
  <c r="BA20" i="141" s="1"/>
  <c r="AH13" i="141"/>
  <c r="BD12" i="141"/>
  <c r="L18" i="141"/>
  <c r="L19" i="141" s="1"/>
  <c r="L20" i="141" s="1"/>
  <c r="AB13" i="141"/>
  <c r="P12" i="141"/>
  <c r="AU13" i="141"/>
  <c r="BC13" i="141"/>
  <c r="O18" i="141"/>
  <c r="O19" i="141" s="1"/>
  <c r="O20" i="141" s="1"/>
  <c r="AN13" i="141"/>
  <c r="AI13" i="141"/>
  <c r="AV12" i="141"/>
  <c r="R13" i="141"/>
  <c r="Y18" i="141"/>
  <c r="Y19" i="141" s="1"/>
  <c r="Y20" i="141" s="1"/>
  <c r="AY13" i="141"/>
  <c r="AC13" i="141"/>
  <c r="AD13" i="141"/>
  <c r="K12" i="141"/>
  <c r="J18" i="141"/>
  <c r="J19" i="141" s="1"/>
  <c r="J20" i="141" s="1"/>
  <c r="AI18" i="141"/>
  <c r="AI19" i="141" s="1"/>
  <c r="AI20" i="141" s="1"/>
  <c r="AL12" i="141"/>
  <c r="Q375" i="143" a="1"/>
  <c r="Q375" i="143" s="1"/>
  <c r="H13" i="141"/>
  <c r="T13" i="141"/>
  <c r="Z18" i="141"/>
  <c r="Z19" i="141" s="1"/>
  <c r="Z20" i="141" s="1"/>
  <c r="AK12" i="141"/>
  <c r="M18" i="141"/>
  <c r="M19" i="141" s="1"/>
  <c r="M20" i="141" s="1"/>
  <c r="AO12" i="141"/>
  <c r="AL13" i="141"/>
  <c r="AP18" i="141"/>
  <c r="AP19" i="141" s="1"/>
  <c r="AP20" i="141" s="1"/>
  <c r="Q13" i="141"/>
  <c r="AK13" i="141"/>
  <c r="S12" i="141"/>
  <c r="AU12" i="141"/>
  <c r="AQ13" i="141"/>
  <c r="BA13" i="141"/>
  <c r="AX18" i="141"/>
  <c r="AX19" i="141" s="1"/>
  <c r="AX20" i="141" s="1"/>
  <c r="W13" i="141"/>
  <c r="AE18" i="141"/>
  <c r="AE19" i="141" s="1"/>
  <c r="AE20" i="141" s="1"/>
  <c r="M13" i="141"/>
  <c r="T12" i="141"/>
  <c r="BB12" i="141"/>
  <c r="V13" i="141"/>
  <c r="P13" i="141"/>
  <c r="AV18" i="141"/>
  <c r="AV19" i="141" s="1"/>
  <c r="AV20" i="141" s="1"/>
  <c r="AI12" i="141"/>
  <c r="AD18" i="141"/>
  <c r="AD19" i="141" s="1"/>
  <c r="AD20" i="141" s="1"/>
  <c r="R12" i="141"/>
  <c r="AA18" i="141"/>
  <c r="AA19" i="141" s="1"/>
  <c r="AA20" i="141" s="1"/>
  <c r="Z12" i="141"/>
  <c r="BC12" i="141"/>
  <c r="BC18" i="141"/>
  <c r="BC19" i="141" s="1"/>
  <c r="BC20" i="141" s="1"/>
  <c r="AZ12" i="141"/>
  <c r="AC12" i="141"/>
  <c r="K13" i="141"/>
  <c r="X13" i="141"/>
  <c r="Q12" i="141"/>
  <c r="AE13" i="141"/>
  <c r="AP13" i="141"/>
  <c r="BD18" i="141"/>
  <c r="BD19" i="141" s="1"/>
  <c r="BD20" i="141" s="1"/>
  <c r="AF13" i="141"/>
  <c r="AH18" i="141"/>
  <c r="AH19" i="141" s="1"/>
  <c r="AH20" i="141" s="1"/>
  <c r="AU18" i="141"/>
  <c r="AU19" i="141" s="1"/>
  <c r="AU20" i="141" s="1"/>
  <c r="AT18" i="141"/>
  <c r="AT19" i="141" s="1"/>
  <c r="AT20" i="141" s="1"/>
  <c r="AX12" i="141"/>
  <c r="AM12" i="141"/>
  <c r="BB13" i="141"/>
  <c r="AM13" i="141"/>
  <c r="AZ18" i="141"/>
  <c r="AZ19" i="141" s="1"/>
  <c r="AZ20" i="141" s="1"/>
  <c r="R18" i="141"/>
  <c r="R19" i="141" s="1"/>
  <c r="R20" i="141" s="1"/>
  <c r="S13" i="141"/>
  <c r="W18" i="141"/>
  <c r="W19" i="141" s="1"/>
  <c r="W20" i="141" s="1"/>
  <c r="AA12" i="141"/>
  <c r="P18" i="141"/>
  <c r="P19" i="141" s="1"/>
  <c r="P20" i="141" s="1"/>
  <c r="X12" i="141"/>
  <c r="AV13" i="141"/>
  <c r="AY18" i="141"/>
  <c r="AY19" i="141" s="1"/>
  <c r="AY20" i="141" s="1"/>
  <c r="AF12" i="141"/>
  <c r="AG18" i="141"/>
  <c r="AG19" i="141" s="1"/>
  <c r="AG20" i="141" s="1"/>
  <c r="AG13" i="141"/>
  <c r="BB18" i="141"/>
  <c r="BB19" i="141" s="1"/>
  <c r="BB20" i="141" s="1"/>
  <c r="AS18" i="141"/>
  <c r="AS19" i="141" s="1"/>
  <c r="AS20" i="141" s="1"/>
  <c r="AC18" i="141"/>
  <c r="AC19" i="141" s="1"/>
  <c r="AC20" i="141" s="1"/>
  <c r="AW18" i="141"/>
  <c r="AW19" i="141" s="1"/>
  <c r="AW20" i="141" s="1"/>
  <c r="AN12" i="141"/>
  <c r="X18" i="141"/>
  <c r="X19" i="141" s="1"/>
  <c r="X20" i="141" s="1"/>
  <c r="N13" i="141"/>
  <c r="BD13" i="141"/>
  <c r="N18" i="141"/>
  <c r="N19" i="141" s="1"/>
  <c r="N20" i="141" s="1"/>
  <c r="AJ12" i="141"/>
  <c r="BE18" i="141"/>
  <c r="BE19" i="141" s="1"/>
  <c r="BE20" i="141" s="1"/>
  <c r="O12" i="141"/>
  <c r="AQ12" i="141"/>
  <c r="W12" i="141"/>
  <c r="AL18" i="141"/>
  <c r="AL19" i="141" s="1"/>
  <c r="AL20" i="141" s="1"/>
  <c r="V18" i="141"/>
  <c r="V19" i="141" s="1"/>
  <c r="V20" i="141" s="1"/>
  <c r="AS12" i="141"/>
  <c r="AJ13" i="141"/>
  <c r="AB18" i="141"/>
  <c r="AB19" i="141" s="1"/>
  <c r="AB20" i="141" s="1"/>
  <c r="AX13" i="141"/>
  <c r="J13" i="141"/>
  <c r="Z44" i="139"/>
  <c r="AF48" i="139" s="1"/>
  <c r="AH31" i="291" l="1"/>
  <c r="AH34" i="291"/>
  <c r="AJ31" i="291"/>
  <c r="AJ34" i="291"/>
  <c r="Q21" i="291" a="1"/>
  <c r="Q21" i="291" s="1"/>
  <c r="T21" i="291" a="1"/>
  <c r="T21" i="291" s="1"/>
  <c r="AG21" i="291" a="1"/>
  <c r="AG21" i="291" s="1"/>
  <c r="I21" i="290" a="1"/>
  <c r="I21" i="290" s="1"/>
  <c r="U21" i="290" a="1"/>
  <c r="U21" i="290" s="1"/>
  <c r="AA21" i="290" a="1"/>
  <c r="AA21" i="290" s="1"/>
  <c r="AI21" i="290" a="1"/>
  <c r="AI21" i="290" s="1"/>
  <c r="M21" i="289" a="1"/>
  <c r="M21" i="289" s="1"/>
  <c r="W21" i="289" a="1"/>
  <c r="W21" i="289" s="1"/>
  <c r="AA21" i="289" a="1"/>
  <c r="AA21" i="289" s="1"/>
  <c r="AC21" i="289" a="1"/>
  <c r="AC21" i="289" s="1"/>
  <c r="G21" i="288" a="1"/>
  <c r="G21" i="288" s="1"/>
  <c r="J21" i="287" a="1"/>
  <c r="J21" i="287" s="1"/>
  <c r="P21" i="287" a="1"/>
  <c r="P21" i="287" s="1"/>
  <c r="Q21" i="287" a="1"/>
  <c r="Q21" i="287" s="1"/>
  <c r="G21" i="286" a="1"/>
  <c r="G21" i="286" s="1"/>
  <c r="K21" i="286" a="1"/>
  <c r="K21" i="286" s="1"/>
  <c r="Z21" i="286" a="1"/>
  <c r="Z21" i="286" s="1"/>
  <c r="L21" i="285" a="1"/>
  <c r="L21" i="285" s="1"/>
  <c r="O21" i="285" a="1"/>
  <c r="O21" i="285" s="1"/>
  <c r="R21" i="285" a="1"/>
  <c r="R21" i="285" s="1"/>
  <c r="AD21" i="284" a="1"/>
  <c r="AD21" i="284" s="1"/>
  <c r="L21" i="283" a="1"/>
  <c r="L21" i="283" s="1"/>
  <c r="J21" i="282" a="1"/>
  <c r="J21" i="282" s="1"/>
  <c r="X21" i="282" a="1"/>
  <c r="X21" i="282" s="1"/>
  <c r="AA21" i="282" a="1"/>
  <c r="AA21" i="282" s="1"/>
  <c r="AE21" i="282" a="1"/>
  <c r="AE21" i="282" s="1"/>
  <c r="N21" i="281" a="1"/>
  <c r="N21" i="281" s="1"/>
  <c r="AF21" i="281" a="1"/>
  <c r="AF21" i="281" s="1"/>
  <c r="L21" i="284" a="1"/>
  <c r="L21" i="284" s="1"/>
  <c r="L21" i="287" a="1"/>
  <c r="L21" i="287" s="1"/>
  <c r="L21" i="282" a="1"/>
  <c r="L21" i="282" s="1"/>
  <c r="L21" i="288" a="1"/>
  <c r="L21" i="288" s="1"/>
  <c r="L21" i="286" a="1"/>
  <c r="L21" i="286" s="1"/>
  <c r="M21" i="285" a="1"/>
  <c r="M21" i="285" s="1"/>
  <c r="L21" i="290" a="1"/>
  <c r="L21" i="290" s="1"/>
  <c r="M21" i="284" a="1"/>
  <c r="M21" i="284" s="1"/>
  <c r="M21" i="288" a="1"/>
  <c r="M21" i="288" s="1"/>
  <c r="M21" i="290" a="1"/>
  <c r="M21" i="290" s="1"/>
  <c r="M21" i="287" a="1"/>
  <c r="M21" i="287" s="1"/>
  <c r="P21" i="282" a="1"/>
  <c r="P21" i="282" s="1"/>
  <c r="S21" i="288" a="1"/>
  <c r="S21" i="288" s="1"/>
  <c r="S21" i="287" a="1"/>
  <c r="S21" i="287" s="1"/>
  <c r="S21" i="291" a="1"/>
  <c r="S21" i="291" s="1"/>
  <c r="T21" i="284" a="1"/>
  <c r="T21" i="284" s="1"/>
  <c r="T21" i="290" a="1"/>
  <c r="T21" i="290" s="1"/>
  <c r="T21" i="281" a="1"/>
  <c r="T21" i="281" s="1"/>
  <c r="T21" i="283" a="1"/>
  <c r="T21" i="283" s="1"/>
  <c r="T21" i="286" a="1"/>
  <c r="T21" i="286" s="1"/>
  <c r="U21" i="283" a="1"/>
  <c r="U21" i="283" s="1"/>
  <c r="U21" i="286" a="1"/>
  <c r="U21" i="286" s="1"/>
  <c r="AA21" i="283" a="1"/>
  <c r="AA21" i="283" s="1"/>
  <c r="AA21" i="286" a="1"/>
  <c r="AA21" i="286" s="1"/>
  <c r="AB21" i="285" a="1"/>
  <c r="AB21" i="285" s="1"/>
  <c r="AB21" i="286" a="1"/>
  <c r="AB21" i="286" s="1"/>
  <c r="AB21" i="287" a="1"/>
  <c r="AB21" i="287" s="1"/>
  <c r="AB21" i="289" a="1"/>
  <c r="AB21" i="289" s="1"/>
  <c r="AB21" i="282" a="1"/>
  <c r="AB21" i="282" s="1"/>
  <c r="AC21" i="288" a="1"/>
  <c r="AC21" i="288" s="1"/>
  <c r="AB21" i="288" a="1"/>
  <c r="AB21" i="288" s="1"/>
  <c r="AC21" i="284" a="1"/>
  <c r="AC21" i="284" s="1"/>
  <c r="AF21" i="291" a="1"/>
  <c r="AF21" i="291" s="1"/>
  <c r="AG21" i="287" a="1"/>
  <c r="AG21" i="287" s="1"/>
  <c r="AG21" i="283" a="1"/>
  <c r="AG21" i="283" s="1"/>
  <c r="AG21" i="282" a="1"/>
  <c r="AG21" i="282" s="1"/>
  <c r="AH21" i="282" a="1"/>
  <c r="AH21" i="282" s="1"/>
  <c r="AH21" i="284" a="1"/>
  <c r="AH21" i="284" s="1"/>
  <c r="AI21" i="286" a="1"/>
  <c r="AI21" i="286" s="1"/>
  <c r="AI21" i="285" a="1"/>
  <c r="AI21" i="285" s="1"/>
  <c r="AI21" i="291" a="1"/>
  <c r="AI21" i="291" s="1"/>
  <c r="AI21" i="289" a="1"/>
  <c r="AI21" i="289" s="1"/>
  <c r="R375" i="143"/>
  <c r="AC375" i="143"/>
  <c r="AA375" i="143"/>
  <c r="BH12" i="141" a="1"/>
  <c r="BH12" i="141" s="1"/>
  <c r="AB375" i="143"/>
  <c r="BF18" i="141"/>
  <c r="BF19" i="141" s="1"/>
  <c r="BF20" i="141" s="1"/>
  <c r="R374" i="143"/>
  <c r="AA374" i="143" s="1"/>
  <c r="AD374" i="143" s="1"/>
  <c r="AE374" i="143" s="1"/>
  <c r="G12" i="141" a="1"/>
  <c r="G12" i="141" s="1"/>
  <c r="F12" i="141" a="1"/>
  <c r="F12" i="141" s="1"/>
  <c r="BG12" i="141" a="1"/>
  <c r="BG12" i="141" s="1"/>
  <c r="Q31" i="291" l="1"/>
  <c r="Q34" i="291"/>
  <c r="T31" i="291"/>
  <c r="T34" i="291"/>
  <c r="AG34" i="291"/>
  <c r="AG31" i="291"/>
  <c r="I34" i="290"/>
  <c r="I31" i="290"/>
  <c r="U31" i="290"/>
  <c r="U34" i="290"/>
  <c r="AA31" i="290"/>
  <c r="AA34" i="290"/>
  <c r="AI34" i="290"/>
  <c r="AI31" i="290"/>
  <c r="M31" i="289"/>
  <c r="M34" i="289"/>
  <c r="W34" i="289"/>
  <c r="W31" i="289"/>
  <c r="AA34" i="289"/>
  <c r="AA31" i="289"/>
  <c r="AC34" i="289"/>
  <c r="AC31" i="289"/>
  <c r="G34" i="288"/>
  <c r="G31" i="288"/>
  <c r="J31" i="287"/>
  <c r="J34" i="287"/>
  <c r="P34" i="287"/>
  <c r="P31" i="287"/>
  <c r="Q34" i="287"/>
  <c r="Q31" i="287"/>
  <c r="G31" i="286"/>
  <c r="G34" i="286"/>
  <c r="K31" i="286"/>
  <c r="K34" i="286"/>
  <c r="Z34" i="286"/>
  <c r="Z31" i="286"/>
  <c r="L34" i="285"/>
  <c r="L31" i="285"/>
  <c r="O34" i="285"/>
  <c r="O31" i="285"/>
  <c r="R34" i="285"/>
  <c r="R31" i="285"/>
  <c r="AD34" i="284"/>
  <c r="AD31" i="284"/>
  <c r="L34" i="283"/>
  <c r="L31" i="283"/>
  <c r="J34" i="282"/>
  <c r="J31" i="282"/>
  <c r="X34" i="282"/>
  <c r="X31" i="282"/>
  <c r="AA31" i="282"/>
  <c r="AA34" i="282"/>
  <c r="AE34" i="282"/>
  <c r="AE31" i="282"/>
  <c r="N31" i="281"/>
  <c r="N34" i="281"/>
  <c r="AF31" i="281"/>
  <c r="AF34" i="281"/>
  <c r="AM21" i="284"/>
  <c r="R173" i="145" s="1"/>
  <c r="AL21" i="284" a="1"/>
  <c r="AL21" i="284" s="1"/>
  <c r="R174" i="145" s="1"/>
  <c r="X17" i="139" s="1"/>
  <c r="L34" i="284"/>
  <c r="L31" i="284"/>
  <c r="AM21" i="287"/>
  <c r="O173" i="145" s="1"/>
  <c r="AL21" i="287" a="1"/>
  <c r="AL21" i="287" s="1"/>
  <c r="O174" i="145" s="1"/>
  <c r="R17" i="139" s="1"/>
  <c r="L34" i="287"/>
  <c r="L31" i="287"/>
  <c r="AL21" i="282" a="1"/>
  <c r="AL21" i="282" s="1"/>
  <c r="T174" i="145" s="1"/>
  <c r="AB17" i="139" s="1"/>
  <c r="AM21" i="282"/>
  <c r="T173" i="145" s="1"/>
  <c r="L34" i="282"/>
  <c r="L31" i="282"/>
  <c r="AL21" i="288" a="1"/>
  <c r="AL21" i="288" s="1"/>
  <c r="N174" i="145" s="1"/>
  <c r="P17" i="139" s="1"/>
  <c r="AM21" i="288"/>
  <c r="N173" i="145" s="1"/>
  <c r="L34" i="288"/>
  <c r="L31" i="288"/>
  <c r="AL21" i="286" a="1"/>
  <c r="AL21" i="286" s="1"/>
  <c r="P174" i="145" s="1"/>
  <c r="T17" i="139" s="1"/>
  <c r="AM21" i="286"/>
  <c r="P173" i="145" s="1"/>
  <c r="L34" i="286"/>
  <c r="L31" i="286"/>
  <c r="AL21" i="285" a="1"/>
  <c r="AL21" i="285" s="1"/>
  <c r="Q174" i="145" s="1"/>
  <c r="V17" i="139" s="1"/>
  <c r="AM21" i="285"/>
  <c r="Q173" i="145" s="1"/>
  <c r="M34" i="285"/>
  <c r="M31" i="285"/>
  <c r="AM21" i="290"/>
  <c r="L173" i="145" s="1"/>
  <c r="AL21" i="290" a="1"/>
  <c r="AL21" i="290" s="1"/>
  <c r="L174" i="145" s="1"/>
  <c r="L17" i="139" s="1"/>
  <c r="L34" i="290"/>
  <c r="L31" i="290"/>
  <c r="M34" i="284"/>
  <c r="M31" i="284"/>
  <c r="M34" i="288"/>
  <c r="M31" i="288"/>
  <c r="M34" i="290"/>
  <c r="M31" i="290"/>
  <c r="M34" i="287"/>
  <c r="M31" i="287"/>
  <c r="P34" i="282"/>
  <c r="P31" i="282"/>
  <c r="S34" i="288"/>
  <c r="S31" i="288"/>
  <c r="S34" i="287"/>
  <c r="S31" i="287"/>
  <c r="AL21" i="291" a="1"/>
  <c r="AL21" i="291" s="1"/>
  <c r="K174" i="145" s="1"/>
  <c r="J17" i="139" s="1"/>
  <c r="AM21" i="291"/>
  <c r="K173" i="145" s="1"/>
  <c r="S34" i="291"/>
  <c r="S31" i="291"/>
  <c r="T34" i="284"/>
  <c r="T31" i="284"/>
  <c r="T34" i="290"/>
  <c r="T31" i="290"/>
  <c r="AM21" i="281"/>
  <c r="U173" i="145" s="1"/>
  <c r="AL21" i="281" a="1"/>
  <c r="AL21" i="281" s="1"/>
  <c r="U174" i="145" s="1"/>
  <c r="AD17" i="139" s="1"/>
  <c r="T34" i="281"/>
  <c r="T31" i="281"/>
  <c r="AM21" i="283"/>
  <c r="S173" i="145" s="1"/>
  <c r="AL21" i="283" a="1"/>
  <c r="AL21" i="283" s="1"/>
  <c r="S174" i="145" s="1"/>
  <c r="Z17" i="139" s="1"/>
  <c r="T34" i="283"/>
  <c r="T31" i="283"/>
  <c r="T34" i="286"/>
  <c r="T31" i="286"/>
  <c r="U34" i="283"/>
  <c r="U31" i="283"/>
  <c r="U34" i="286"/>
  <c r="U31" i="286"/>
  <c r="AA34" i="283"/>
  <c r="AA31" i="283"/>
  <c r="AA34" i="286"/>
  <c r="AA31" i="286"/>
  <c r="AB34" i="285"/>
  <c r="AB31" i="285"/>
  <c r="AB34" i="286"/>
  <c r="AB31" i="286"/>
  <c r="AB34" i="287"/>
  <c r="AB31" i="287"/>
  <c r="AL21" i="289" a="1"/>
  <c r="AL21" i="289" s="1"/>
  <c r="M174" i="145" s="1"/>
  <c r="N17" i="139" s="1"/>
  <c r="AM21" i="289"/>
  <c r="M173" i="145" s="1"/>
  <c r="AB34" i="289"/>
  <c r="AB31" i="289"/>
  <c r="AB34" i="282"/>
  <c r="AB31" i="282"/>
  <c r="AC34" i="288"/>
  <c r="AC31" i="288"/>
  <c r="AB34" i="288"/>
  <c r="AB31" i="288"/>
  <c r="AC34" i="284"/>
  <c r="AC31" i="284"/>
  <c r="AF34" i="291"/>
  <c r="AF31" i="291"/>
  <c r="AG34" i="287"/>
  <c r="AG31" i="287"/>
  <c r="AG34" i="283"/>
  <c r="AG31" i="283"/>
  <c r="AG34" i="282"/>
  <c r="AG31" i="282"/>
  <c r="AH34" i="282"/>
  <c r="AH31" i="282"/>
  <c r="AH34" i="284"/>
  <c r="AH31" i="284"/>
  <c r="AI34" i="286"/>
  <c r="AI31" i="286"/>
  <c r="AI34" i="285"/>
  <c r="AI31" i="285"/>
  <c r="AI34" i="291"/>
  <c r="AI31" i="291"/>
  <c r="AI34" i="289"/>
  <c r="AI31" i="289"/>
  <c r="AD375" i="143"/>
  <c r="AE375" i="143" s="1"/>
  <c r="G18" i="141" a="1"/>
  <c r="G18" i="141" s="1"/>
  <c r="G19" i="141" s="1"/>
  <c r="G20" i="141" s="1"/>
  <c r="H17" i="139"/>
  <c r="F18" i="141" a="1"/>
  <c r="F18" i="141" s="1"/>
  <c r="BH18" i="141" a="1"/>
  <c r="BH18" i="141" s="1"/>
  <c r="BH19" i="141" s="1"/>
  <c r="BH20" i="141" s="1"/>
  <c r="BG18" i="141" a="1"/>
  <c r="BG18" i="141" s="1"/>
  <c r="BG19" i="141" s="1"/>
  <c r="BG20" i="141" s="1"/>
  <c r="BI12" i="141"/>
  <c r="BF13" i="141"/>
  <c r="BG13" i="141" a="1"/>
  <c r="BG13" i="141" s="1"/>
  <c r="F13" i="141" a="1"/>
  <c r="F13" i="141" s="1"/>
  <c r="BH13" i="141" a="1"/>
  <c r="BH13" i="141" s="1"/>
  <c r="G13" i="141" a="1"/>
  <c r="G13" i="141" s="1"/>
  <c r="O4" i="143"/>
  <c r="AL34" i="281" l="1"/>
  <c r="U127" i="145" s="1"/>
  <c r="AL31" i="281"/>
  <c r="U123" i="145" s="1"/>
  <c r="U94" i="145" s="1"/>
  <c r="F29" i="285" a="1"/>
  <c r="F29" i="285" s="1"/>
  <c r="G29" i="288" a="1"/>
  <c r="G29" i="288" s="1"/>
  <c r="I29" i="289" a="1"/>
  <c r="I29" i="289" s="1"/>
  <c r="I29" i="286" a="1"/>
  <c r="I29" i="286" s="1"/>
  <c r="K29" i="287" a="1"/>
  <c r="K29" i="287" s="1"/>
  <c r="J29" i="281" a="1"/>
  <c r="J29" i="281" s="1"/>
  <c r="J29" i="284" a="1"/>
  <c r="J29" i="284" s="1"/>
  <c r="L29" i="290" a="1"/>
  <c r="L29" i="290" s="1"/>
  <c r="L29" i="291" a="1"/>
  <c r="L29" i="291" s="1"/>
  <c r="L29" i="282" a="1"/>
  <c r="L29" i="282" s="1"/>
  <c r="M29" i="285" a="1"/>
  <c r="M29" i="285" s="1"/>
  <c r="N29" i="288" a="1"/>
  <c r="N29" i="288" s="1"/>
  <c r="P29" i="289" a="1"/>
  <c r="P29" i="289" s="1"/>
  <c r="R29" i="287" a="1"/>
  <c r="R29" i="287" s="1"/>
  <c r="R32" i="287" s="1" a="1"/>
  <c r="R32" i="287" s="1"/>
  <c r="P29" i="286" a="1"/>
  <c r="P29" i="286" s="1"/>
  <c r="Q29" i="284" a="1"/>
  <c r="Q29" i="284" s="1"/>
  <c r="Q32" i="284" s="1" a="1"/>
  <c r="Q32" i="284" s="1"/>
  <c r="Q29" i="281" a="1"/>
  <c r="Q29" i="281" s="1"/>
  <c r="Q32" i="281" s="1" a="1"/>
  <c r="Q32" i="281" s="1"/>
  <c r="S29" i="290" a="1"/>
  <c r="S29" i="290" s="1"/>
  <c r="S32" i="290" s="1" a="1"/>
  <c r="S32" i="290" s="1"/>
  <c r="S29" i="282" a="1"/>
  <c r="S29" i="282" s="1"/>
  <c r="S32" i="282" s="1" a="1"/>
  <c r="S32" i="282" s="1"/>
  <c r="S29" i="291" a="1"/>
  <c r="S29" i="291" s="1"/>
  <c r="S32" i="291" s="1" a="1"/>
  <c r="S32" i="291" s="1"/>
  <c r="T29" i="285" a="1"/>
  <c r="T29" i="285" s="1"/>
  <c r="T32" i="285" s="1" a="1"/>
  <c r="T32" i="285" s="1"/>
  <c r="U29" i="288" a="1"/>
  <c r="U29" i="288" s="1"/>
  <c r="U32" i="288" s="1" a="1"/>
  <c r="U32" i="288" s="1"/>
  <c r="W29" i="289" a="1"/>
  <c r="W29" i="289" s="1"/>
  <c r="W32" i="289" s="1" a="1"/>
  <c r="W32" i="289" s="1"/>
  <c r="W29" i="286" a="1"/>
  <c r="W29" i="286" s="1"/>
  <c r="W32" i="286" s="1" a="1"/>
  <c r="W32" i="286" s="1"/>
  <c r="Z29" i="290" a="1"/>
  <c r="Z29" i="290" s="1"/>
  <c r="Z32" i="290" s="1" a="1"/>
  <c r="Z32" i="290" s="1"/>
  <c r="X29" i="281" a="1"/>
  <c r="X29" i="281" s="1"/>
  <c r="X32" i="281" s="1" a="1"/>
  <c r="X32" i="281" s="1"/>
  <c r="X29" i="284" a="1"/>
  <c r="X29" i="284" s="1"/>
  <c r="X32" i="284" s="1" a="1"/>
  <c r="X32" i="284" s="1"/>
  <c r="Y29" i="287" a="1"/>
  <c r="Y29" i="287" s="1"/>
  <c r="Y32" i="287" s="1" a="1"/>
  <c r="Y32" i="287" s="1"/>
  <c r="Z29" i="291" a="1"/>
  <c r="Z29" i="291" s="1"/>
  <c r="Z32" i="291" s="1" a="1"/>
  <c r="Z32" i="291" s="1"/>
  <c r="Z29" i="282" a="1"/>
  <c r="Z29" i="282" s="1"/>
  <c r="Z32" i="282" s="1" a="1"/>
  <c r="Z32" i="282" s="1"/>
  <c r="AA29" i="285" a="1"/>
  <c r="AA29" i="285" s="1"/>
  <c r="AA32" i="285" s="1" a="1"/>
  <c r="AA32" i="285" s="1"/>
  <c r="AB29" i="288" a="1"/>
  <c r="AB29" i="288" s="1"/>
  <c r="AB32" i="288" s="1" a="1"/>
  <c r="AB32" i="288" s="1"/>
  <c r="AD29" i="289" a="1"/>
  <c r="AD29" i="289" s="1"/>
  <c r="AD32" i="289" s="1" a="1"/>
  <c r="AD32" i="289" s="1"/>
  <c r="AD29" i="286" a="1"/>
  <c r="AD29" i="286" s="1"/>
  <c r="AD32" i="286" s="1" a="1"/>
  <c r="AD32" i="286" s="1"/>
  <c r="AE29" i="281" a="1"/>
  <c r="AE29" i="281" s="1"/>
  <c r="AE32" i="281" s="1" a="1"/>
  <c r="AE32" i="281" s="1"/>
  <c r="AG29" i="290" a="1"/>
  <c r="AG29" i="290" s="1"/>
  <c r="AG32" i="290" s="1" a="1"/>
  <c r="AG32" i="290" s="1"/>
  <c r="AF29" i="287" a="1"/>
  <c r="AF29" i="287" s="1"/>
  <c r="AF32" i="287" s="1" a="1"/>
  <c r="AF32" i="287" s="1"/>
  <c r="AE29" i="284" a="1"/>
  <c r="AE29" i="284" s="1"/>
  <c r="AE32" i="284" s="1" a="1"/>
  <c r="AE32" i="284" s="1"/>
  <c r="AG29" i="282" a="1"/>
  <c r="AG29" i="282" s="1"/>
  <c r="AG32" i="282" s="1" a="1"/>
  <c r="AG32" i="282" s="1"/>
  <c r="AG29" i="291" a="1"/>
  <c r="AG29" i="291" s="1"/>
  <c r="AI29" i="288" a="1"/>
  <c r="AI29" i="288" s="1"/>
  <c r="AI32" i="288" s="1" a="1"/>
  <c r="AI32" i="288" s="1"/>
  <c r="AH29" i="285" a="1"/>
  <c r="AH29" i="285" s="1"/>
  <c r="AH32" i="285" s="1" a="1"/>
  <c r="AH32" i="285" s="1"/>
  <c r="AL31" i="285"/>
  <c r="Q123" i="145" s="1"/>
  <c r="Q94" i="145" s="1"/>
  <c r="AL34" i="285"/>
  <c r="Q127" i="145" s="1"/>
  <c r="V15" i="139" s="1"/>
  <c r="AL31" i="289"/>
  <c r="M123" i="145" s="1"/>
  <c r="M94" i="145" s="1"/>
  <c r="AL34" i="289"/>
  <c r="M127" i="145" s="1"/>
  <c r="N15" i="139" s="1"/>
  <c r="AL34" i="290"/>
  <c r="L127" i="145" s="1"/>
  <c r="L15" i="139" s="1"/>
  <c r="AL31" i="291"/>
  <c r="K123" i="145" s="1"/>
  <c r="K94" i="145" s="1"/>
  <c r="AL34" i="291"/>
  <c r="K127" i="145" s="1"/>
  <c r="J15" i="139" s="1"/>
  <c r="AL34" i="284"/>
  <c r="R127" i="145" s="1"/>
  <c r="X15" i="139" s="1"/>
  <c r="AL31" i="284"/>
  <c r="R123" i="145" s="1"/>
  <c r="R94" i="145" s="1"/>
  <c r="AL34" i="287"/>
  <c r="O127" i="145" s="1"/>
  <c r="R15" i="139" s="1"/>
  <c r="AL31" i="287"/>
  <c r="O123" i="145" s="1"/>
  <c r="O94" i="145" s="1"/>
  <c r="AL34" i="282"/>
  <c r="T127" i="145" s="1"/>
  <c r="AB15" i="139" s="1"/>
  <c r="AL31" i="282"/>
  <c r="T123" i="145" s="1"/>
  <c r="T94" i="145" s="1"/>
  <c r="AL34" i="288"/>
  <c r="N127" i="145" s="1"/>
  <c r="P15" i="139" s="1"/>
  <c r="AL31" i="288"/>
  <c r="N123" i="145" s="1"/>
  <c r="N94" i="145" s="1"/>
  <c r="AL34" i="286"/>
  <c r="P127" i="145" s="1"/>
  <c r="T15" i="139" s="1"/>
  <c r="AL31" i="286"/>
  <c r="P123" i="145" s="1"/>
  <c r="P94" i="145" s="1"/>
  <c r="AL31" i="290"/>
  <c r="L123" i="145" s="1"/>
  <c r="L94" i="145" s="1"/>
  <c r="AL34" i="283"/>
  <c r="S127" i="145" s="1"/>
  <c r="Z15" i="139" s="1"/>
  <c r="AL31" i="283"/>
  <c r="S123" i="145" s="1"/>
  <c r="S94" i="145" s="1"/>
  <c r="H29" i="289" a="1"/>
  <c r="H29" i="289" s="1"/>
  <c r="H29" i="288" a="1"/>
  <c r="H29" i="288" s="1"/>
  <c r="H29" i="290" a="1"/>
  <c r="H29" i="290" s="1"/>
  <c r="H29" i="282" a="1"/>
  <c r="H29" i="282" s="1"/>
  <c r="H29" i="285" a="1"/>
  <c r="H29" i="285" s="1"/>
  <c r="H29" i="286" a="1"/>
  <c r="H29" i="286" s="1"/>
  <c r="H29" i="281" a="1"/>
  <c r="H29" i="281" s="1"/>
  <c r="H29" i="287" a="1"/>
  <c r="H29" i="287" s="1"/>
  <c r="H29" i="291" a="1"/>
  <c r="H29" i="291" s="1"/>
  <c r="H29" i="284" a="1"/>
  <c r="H29" i="284" s="1"/>
  <c r="H29" i="283" a="1"/>
  <c r="H29" i="283" s="1"/>
  <c r="O29" i="288" a="1"/>
  <c r="O29" i="288" s="1"/>
  <c r="O29" i="287" a="1"/>
  <c r="O29" i="287" s="1"/>
  <c r="O29" i="290" a="1"/>
  <c r="O29" i="290" s="1"/>
  <c r="O29" i="286" a="1"/>
  <c r="O29" i="286" s="1"/>
  <c r="O29" i="281" a="1"/>
  <c r="O29" i="281" s="1"/>
  <c r="O29" i="289" a="1"/>
  <c r="O29" i="289" s="1"/>
  <c r="O29" i="284" a="1"/>
  <c r="O29" i="284" s="1"/>
  <c r="O29" i="282" a="1"/>
  <c r="O29" i="282" s="1"/>
  <c r="O29" i="291" a="1"/>
  <c r="O29" i="291" s="1"/>
  <c r="O29" i="283" a="1"/>
  <c r="O29" i="283" s="1"/>
  <c r="O29" i="285" a="1"/>
  <c r="O29" i="285" s="1"/>
  <c r="V29" i="289" a="1"/>
  <c r="V29" i="289" s="1"/>
  <c r="V32" i="289" s="1" a="1"/>
  <c r="V32" i="289" s="1"/>
  <c r="V29" i="287" a="1"/>
  <c r="V29" i="287" s="1"/>
  <c r="V32" i="287" s="1" a="1"/>
  <c r="V32" i="287" s="1"/>
  <c r="V29" i="290" a="1"/>
  <c r="V29" i="290" s="1"/>
  <c r="V32" i="290" s="1" a="1"/>
  <c r="V32" i="290" s="1"/>
  <c r="V29" i="285" a="1"/>
  <c r="V29" i="285" s="1"/>
  <c r="V32" i="285" s="1" a="1"/>
  <c r="V32" i="285" s="1"/>
  <c r="V29" i="286" a="1"/>
  <c r="V29" i="286" s="1"/>
  <c r="V32" i="286" s="1" a="1"/>
  <c r="V32" i="286" s="1"/>
  <c r="V29" i="288" a="1"/>
  <c r="V29" i="288" s="1"/>
  <c r="V32" i="288" s="1" a="1"/>
  <c r="V32" i="288" s="1"/>
  <c r="V29" i="284" a="1"/>
  <c r="V29" i="284" s="1"/>
  <c r="V32" i="284" s="1" a="1"/>
  <c r="V32" i="284" s="1"/>
  <c r="V29" i="283" a="1"/>
  <c r="V29" i="283" s="1"/>
  <c r="V32" i="283" s="1" a="1"/>
  <c r="V32" i="283" s="1"/>
  <c r="V29" i="282" a="1"/>
  <c r="V29" i="282" s="1"/>
  <c r="V32" i="282" s="1" a="1"/>
  <c r="V32" i="282" s="1"/>
  <c r="V29" i="291" a="1"/>
  <c r="V29" i="291" s="1"/>
  <c r="V32" i="291" s="1" a="1"/>
  <c r="V32" i="291" s="1"/>
  <c r="V29" i="281" a="1"/>
  <c r="V29" i="281" s="1"/>
  <c r="V32" i="281" s="1" a="1"/>
  <c r="V32" i="281" s="1"/>
  <c r="AC29" i="290" a="1"/>
  <c r="AC29" i="290" s="1"/>
  <c r="AC32" i="290" s="1" a="1"/>
  <c r="AC32" i="290" s="1"/>
  <c r="AC29" i="287" a="1"/>
  <c r="AC29" i="287" s="1"/>
  <c r="AC32" i="287" s="1" a="1"/>
  <c r="AC32" i="287" s="1"/>
  <c r="AC29" i="289" a="1"/>
  <c r="AC29" i="289" s="1"/>
  <c r="AC32" i="289" s="1" a="1"/>
  <c r="AC32" i="289" s="1"/>
  <c r="AC29" i="286" a="1"/>
  <c r="AC29" i="286" s="1"/>
  <c r="AC32" i="286" s="1" a="1"/>
  <c r="AC32" i="286" s="1"/>
  <c r="AC29" i="285" a="1"/>
  <c r="AC29" i="285" s="1"/>
  <c r="AC32" i="285" s="1" a="1"/>
  <c r="AC32" i="285" s="1"/>
  <c r="AC29" i="284" a="1"/>
  <c r="AC29" i="284" s="1"/>
  <c r="AC32" i="284" s="1" a="1"/>
  <c r="AC32" i="284" s="1"/>
  <c r="AC29" i="288" a="1"/>
  <c r="AC29" i="288" s="1"/>
  <c r="AC32" i="288" s="1" a="1"/>
  <c r="AC32" i="288" s="1"/>
  <c r="AC29" i="281" a="1"/>
  <c r="AC29" i="281" s="1"/>
  <c r="AC32" i="281" s="1" a="1"/>
  <c r="AC32" i="281" s="1"/>
  <c r="AC29" i="283" a="1"/>
  <c r="AC29" i="283" s="1"/>
  <c r="AC32" i="283" s="1" a="1"/>
  <c r="AC32" i="283" s="1"/>
  <c r="AC29" i="282" a="1"/>
  <c r="AC29" i="282" s="1"/>
  <c r="AC32" i="282" s="1" a="1"/>
  <c r="AC32" i="282" s="1"/>
  <c r="AC29" i="291" a="1"/>
  <c r="AC29" i="291" s="1"/>
  <c r="AC32" i="291" s="1" a="1"/>
  <c r="AC32" i="291" s="1"/>
  <c r="AJ29" i="290" a="1"/>
  <c r="AJ29" i="290" s="1"/>
  <c r="AJ32" i="290" s="1" a="1"/>
  <c r="AJ32" i="290" s="1"/>
  <c r="AJ29" i="287" a="1"/>
  <c r="AJ29" i="287" s="1"/>
  <c r="AJ32" i="287" s="1" a="1"/>
  <c r="AJ32" i="287" s="1"/>
  <c r="AJ29" i="289" a="1"/>
  <c r="AJ29" i="289" s="1"/>
  <c r="AJ32" i="289" s="1" a="1"/>
  <c r="AJ32" i="289" s="1"/>
  <c r="AJ29" i="288" a="1"/>
  <c r="AJ29" i="288" s="1"/>
  <c r="AJ32" i="288" s="1" a="1"/>
  <c r="AJ32" i="288" s="1"/>
  <c r="AJ29" i="285" a="1"/>
  <c r="AJ29" i="285" s="1"/>
  <c r="AJ32" i="285" s="1" a="1"/>
  <c r="AJ32" i="285" s="1"/>
  <c r="AJ29" i="284" a="1"/>
  <c r="AJ29" i="284" s="1"/>
  <c r="AJ32" i="284" s="1" a="1"/>
  <c r="AJ32" i="284" s="1"/>
  <c r="AJ29" i="291" a="1"/>
  <c r="AJ29" i="291" s="1"/>
  <c r="AJ32" i="291" s="1" a="1"/>
  <c r="AJ32" i="291" s="1"/>
  <c r="AJ29" i="286" a="1"/>
  <c r="AJ29" i="286" s="1"/>
  <c r="AJ32" i="286" s="1" a="1"/>
  <c r="AJ32" i="286" s="1"/>
  <c r="AJ29" i="283" a="1"/>
  <c r="AJ29" i="283" s="1"/>
  <c r="AJ29" i="281" a="1"/>
  <c r="AJ29" i="281" s="1"/>
  <c r="AJ32" i="281" s="1" a="1"/>
  <c r="AJ32" i="281" s="1"/>
  <c r="AJ29" i="282" a="1"/>
  <c r="AJ29" i="282" s="1"/>
  <c r="AJ32" i="282" s="1" a="1"/>
  <c r="AJ32" i="282" s="1"/>
  <c r="AD15" i="139"/>
  <c r="AJ29" i="135" a="1"/>
  <c r="AJ29" i="135" s="1"/>
  <c r="J29" i="135" a="1"/>
  <c r="J29" i="135" s="1"/>
  <c r="J32" i="135" s="1" a="1"/>
  <c r="J32" i="135" s="1"/>
  <c r="Q29" i="135" a="1"/>
  <c r="Q29" i="135" s="1"/>
  <c r="Q32" i="135" s="1" a="1"/>
  <c r="Q32" i="135" s="1"/>
  <c r="X29" i="135" a="1"/>
  <c r="X29" i="135" s="1"/>
  <c r="X32" i="135" s="1" a="1"/>
  <c r="X32" i="135" s="1"/>
  <c r="AE29" i="135" a="1"/>
  <c r="AE29" i="135" s="1"/>
  <c r="AE32" i="135" s="1" a="1"/>
  <c r="AE32" i="135" s="1"/>
  <c r="F29" i="135" a="1"/>
  <c r="F29" i="135" s="1"/>
  <c r="F32" i="135" s="1" a="1"/>
  <c r="F32" i="135" s="1"/>
  <c r="M29" i="135" a="1"/>
  <c r="M29" i="135" s="1"/>
  <c r="M32" i="135" s="1" a="1"/>
  <c r="M32" i="135" s="1"/>
  <c r="T29" i="135" a="1"/>
  <c r="T29" i="135" s="1"/>
  <c r="T32" i="135" s="1" a="1"/>
  <c r="T32" i="135" s="1"/>
  <c r="AA29" i="135" a="1"/>
  <c r="AA29" i="135" s="1"/>
  <c r="AA32" i="135" s="1" a="1"/>
  <c r="AA32" i="135" s="1"/>
  <c r="AH29" i="135" a="1"/>
  <c r="AH29" i="135" s="1"/>
  <c r="AH32" i="135" s="1" a="1"/>
  <c r="AH32" i="135" s="1"/>
  <c r="G29" i="135" a="1"/>
  <c r="G29" i="135" s="1"/>
  <c r="G32" i="135" s="1" a="1"/>
  <c r="G32" i="135" s="1"/>
  <c r="N29" i="135" a="1"/>
  <c r="N29" i="135" s="1"/>
  <c r="N32" i="135" s="1" a="1"/>
  <c r="N32" i="135" s="1"/>
  <c r="U29" i="135" a="1"/>
  <c r="U29" i="135" s="1"/>
  <c r="U32" i="135" s="1" a="1"/>
  <c r="U32" i="135" s="1"/>
  <c r="AB29" i="135" a="1"/>
  <c r="AB29" i="135" s="1"/>
  <c r="AB32" i="135" s="1" a="1"/>
  <c r="AB32" i="135" s="1"/>
  <c r="AI29" i="135" a="1"/>
  <c r="AI29" i="135" s="1"/>
  <c r="AI32" i="135" s="1" a="1"/>
  <c r="AI32" i="135" s="1"/>
  <c r="V173" i="145"/>
  <c r="D17" i="139" s="1"/>
  <c r="H29" i="135" a="1"/>
  <c r="H29" i="135" s="1"/>
  <c r="O29" i="135" a="1"/>
  <c r="O29" i="135" s="1"/>
  <c r="V29" i="135" a="1"/>
  <c r="V29" i="135" s="1"/>
  <c r="AC29" i="135" a="1"/>
  <c r="AC29" i="135" s="1"/>
  <c r="K29" i="135" a="1"/>
  <c r="K29" i="135" s="1"/>
  <c r="R29" i="135" a="1"/>
  <c r="R29" i="135" s="1"/>
  <c r="R32" i="135" s="1" a="1"/>
  <c r="R32" i="135" s="1"/>
  <c r="Y29" i="135" a="1"/>
  <c r="Y29" i="135" s="1"/>
  <c r="Y32" i="135" s="1" a="1"/>
  <c r="Y32" i="135" s="1"/>
  <c r="AF29" i="135" a="1"/>
  <c r="AF29" i="135" s="1"/>
  <c r="AF32" i="135" s="1" a="1"/>
  <c r="AF32" i="135" s="1"/>
  <c r="V174" i="145"/>
  <c r="AF17" i="139" s="1"/>
  <c r="L29" i="135" a="1"/>
  <c r="L29" i="135" s="1"/>
  <c r="S29" i="135" a="1"/>
  <c r="S29" i="135" s="1"/>
  <c r="Z29" i="135" a="1"/>
  <c r="Z29" i="135" s="1"/>
  <c r="Z32" i="135" s="1" a="1"/>
  <c r="Z32" i="135" s="1"/>
  <c r="AG29" i="135" a="1"/>
  <c r="AG29" i="135" s="1"/>
  <c r="AG32" i="135" s="1" a="1"/>
  <c r="AG32" i="135" s="1"/>
  <c r="I29" i="135" a="1"/>
  <c r="I29" i="135" s="1"/>
  <c r="P29" i="135" a="1"/>
  <c r="P29" i="135" s="1"/>
  <c r="P32" i="135" s="1" a="1"/>
  <c r="P32" i="135" s="1"/>
  <c r="W29" i="135" a="1"/>
  <c r="W29" i="135" s="1"/>
  <c r="W32" i="135" s="1" a="1"/>
  <c r="W32" i="135" s="1"/>
  <c r="AD29" i="135" a="1"/>
  <c r="AD29" i="135" s="1"/>
  <c r="AD32" i="135" s="1" a="1"/>
  <c r="AD32" i="135" s="1"/>
  <c r="F19" i="141"/>
  <c r="BI19" i="141" s="1"/>
  <c r="BI18" i="141"/>
  <c r="BI13" i="141"/>
  <c r="V123" i="145" l="1"/>
  <c r="V127" i="145"/>
  <c r="L32" i="135" a="1"/>
  <c r="L32" i="135" s="1"/>
  <c r="F20" i="141"/>
  <c r="AF15" i="139"/>
  <c r="V32" i="135" l="1" a="1"/>
  <c r="V32" i="135" s="1"/>
  <c r="AC32" i="135" a="1"/>
  <c r="AC32" i="135" s="1"/>
  <c r="F32" i="285" a="1"/>
  <c r="F32" i="285" s="1"/>
  <c r="G32" i="288" a="1"/>
  <c r="G32" i="288" s="1"/>
  <c r="I32" i="289" a="1"/>
  <c r="I32" i="289" s="1"/>
  <c r="I32" i="286" a="1"/>
  <c r="I32" i="286" s="1"/>
  <c r="M32" i="285" a="1"/>
  <c r="M32" i="285" s="1"/>
  <c r="P32" i="286" a="1"/>
  <c r="P32" i="286" s="1"/>
  <c r="AJ32" i="283" a="1"/>
  <c r="AJ32" i="283" s="1"/>
  <c r="L32" i="290" a="1"/>
  <c r="L32" i="290" s="1"/>
  <c r="L32" i="282" a="1"/>
  <c r="L32" i="282" s="1"/>
  <c r="J32" i="284" a="1"/>
  <c r="J32" i="284" s="1"/>
  <c r="AG32" i="291" a="1"/>
  <c r="AG32" i="291" s="1"/>
  <c r="J32" i="281" a="1"/>
  <c r="J32" i="281" s="1"/>
  <c r="N32" i="288" a="1"/>
  <c r="N32" i="288" s="1"/>
  <c r="L32" i="291" a="1"/>
  <c r="L32" i="291" s="1"/>
  <c r="K32" i="287" a="1"/>
  <c r="K32" i="287" s="1"/>
  <c r="P32" i="289" a="1"/>
  <c r="P32" i="289" s="1"/>
  <c r="O32" i="135" a="1"/>
  <c r="O32" i="135" s="1"/>
  <c r="H32" i="289" a="1"/>
  <c r="H32" i="289" s="1"/>
  <c r="H32" i="288" a="1"/>
  <c r="H32" i="288" s="1"/>
  <c r="H32" i="286" a="1"/>
  <c r="H32" i="286" s="1"/>
  <c r="O32" i="289" a="1"/>
  <c r="O32" i="289" s="1"/>
  <c r="H32" i="287" a="1"/>
  <c r="H32" i="287" s="1"/>
  <c r="H32" i="291" a="1"/>
  <c r="H32" i="291" s="1"/>
  <c r="H32" i="284" a="1"/>
  <c r="H32" i="284" s="1"/>
  <c r="O32" i="290" a="1"/>
  <c r="O32" i="290" s="1"/>
  <c r="O32" i="282" a="1"/>
  <c r="O32" i="282" s="1"/>
  <c r="O32" i="291" a="1"/>
  <c r="O32" i="291" s="1"/>
  <c r="O32" i="283" a="1"/>
  <c r="O32" i="283" s="1"/>
  <c r="O32" i="285" a="1"/>
  <c r="O32" i="285" s="1"/>
  <c r="H32" i="281" a="1"/>
  <c r="H32" i="281" s="1"/>
  <c r="O32" i="287" a="1"/>
  <c r="O32" i="287" s="1"/>
  <c r="O32" i="286" a="1"/>
  <c r="O32" i="286" s="1"/>
  <c r="H32" i="282" a="1"/>
  <c r="H32" i="282" s="1"/>
  <c r="O32" i="284" a="1"/>
  <c r="O32" i="284" s="1"/>
  <c r="H32" i="285" a="1"/>
  <c r="H32" i="285" s="1"/>
  <c r="O32" i="281" a="1"/>
  <c r="O32" i="281" s="1"/>
  <c r="O32" i="288" a="1"/>
  <c r="O32" i="288" s="1"/>
  <c r="H32" i="290" a="1"/>
  <c r="H32" i="290" s="1"/>
  <c r="H32" i="283" a="1"/>
  <c r="H32" i="283" s="1"/>
  <c r="AJ32" i="135" a="1"/>
  <c r="AJ32" i="135" s="1"/>
  <c r="BI20" i="141"/>
  <c r="H32" i="135" a="1"/>
  <c r="H32" i="135" s="1"/>
  <c r="I32" i="135" a="1"/>
  <c r="I32" i="135" s="1"/>
  <c r="K32" i="135" a="1"/>
  <c r="K32" i="135" s="1"/>
  <c r="S32" i="135" a="1"/>
  <c r="S32" i="135" s="1"/>
  <c r="AL32" i="290" l="1"/>
  <c r="L124" i="145" s="1"/>
  <c r="AL32" i="281"/>
  <c r="U124" i="145" s="1"/>
  <c r="AL32" i="283"/>
  <c r="S124" i="145" s="1"/>
  <c r="AL32" i="282"/>
  <c r="T124" i="145" s="1"/>
  <c r="AL32" i="289"/>
  <c r="M124" i="145" s="1"/>
  <c r="AL32" i="288"/>
  <c r="N124" i="145" s="1"/>
  <c r="AL32" i="291"/>
  <c r="K124" i="145" s="1"/>
  <c r="AL32" i="285"/>
  <c r="Q124" i="145" s="1"/>
  <c r="AL32" i="286"/>
  <c r="P124" i="145" s="1"/>
  <c r="AL32" i="284"/>
  <c r="R124" i="145" s="1"/>
  <c r="AL32" i="287"/>
  <c r="O124" i="145" s="1"/>
  <c r="AL32" i="135"/>
  <c r="J124" i="145" s="1"/>
  <c r="L14" i="139" l="1"/>
  <c r="L41" i="139" s="1"/>
  <c r="L42" i="139" s="1"/>
  <c r="L128" i="145"/>
  <c r="L93" i="145" s="1"/>
  <c r="L98" i="145" s="1"/>
  <c r="T128" i="145"/>
  <c r="T93" i="145" s="1"/>
  <c r="T98" i="145" s="1"/>
  <c r="AB14" i="139"/>
  <c r="AB41" i="139" s="1"/>
  <c r="AB42" i="139" s="1"/>
  <c r="S128" i="145"/>
  <c r="S93" i="145" s="1"/>
  <c r="S98" i="145" s="1"/>
  <c r="Z14" i="139"/>
  <c r="Z41" i="139" s="1"/>
  <c r="Z42" i="139" s="1"/>
  <c r="K128" i="145"/>
  <c r="K93" i="145" s="1"/>
  <c r="K98" i="145" s="1"/>
  <c r="J14" i="139"/>
  <c r="J41" i="139" s="1"/>
  <c r="J42" i="139" s="1"/>
  <c r="R128" i="145"/>
  <c r="R93" i="145" s="1"/>
  <c r="R98" i="145" s="1"/>
  <c r="X14" i="139"/>
  <c r="X41" i="139" s="1"/>
  <c r="X42" i="139" s="1"/>
  <c r="V124" i="145"/>
  <c r="P128" i="145"/>
  <c r="P93" i="145" s="1"/>
  <c r="P98" i="145" s="1"/>
  <c r="T14" i="139"/>
  <c r="T41" i="139" s="1"/>
  <c r="T42" i="139" s="1"/>
  <c r="Q128" i="145"/>
  <c r="Q93" i="145" s="1"/>
  <c r="Q98" i="145" s="1"/>
  <c r="V14" i="139"/>
  <c r="V41" i="139" s="1"/>
  <c r="V42" i="139" s="1"/>
  <c r="N14" i="139"/>
  <c r="N41" i="139" s="1"/>
  <c r="N42" i="139" s="1"/>
  <c r="M128" i="145"/>
  <c r="M93" i="145" s="1"/>
  <c r="M98" i="145" s="1"/>
  <c r="O128" i="145"/>
  <c r="O93" i="145" s="1"/>
  <c r="O98" i="145" s="1"/>
  <c r="R14" i="139"/>
  <c r="R41" i="139" s="1"/>
  <c r="R42" i="139" s="1"/>
  <c r="N128" i="145"/>
  <c r="N93" i="145" s="1"/>
  <c r="N98" i="145" s="1"/>
  <c r="P14" i="139"/>
  <c r="P41" i="139" s="1"/>
  <c r="P42" i="139" s="1"/>
  <c r="U128" i="145"/>
  <c r="U93" i="145" s="1"/>
  <c r="U98" i="145" s="1"/>
  <c r="AD14" i="139"/>
  <c r="AD41" i="139" s="1"/>
  <c r="AD42" i="139" s="1"/>
  <c r="H14" i="139"/>
  <c r="H41" i="139" s="1"/>
  <c r="H42" i="139" s="1"/>
  <c r="J128" i="145"/>
  <c r="J93" i="145" s="1"/>
  <c r="J98" i="145" s="1"/>
  <c r="J12" i="291" l="1" a="1"/>
  <c r="J12" i="291" s="1"/>
  <c r="J12" i="290" a="1"/>
  <c r="J12" i="290" s="1"/>
  <c r="J12" i="289" a="1"/>
  <c r="J12" i="289" s="1"/>
  <c r="J12" i="288" a="1"/>
  <c r="J12" i="288" s="1"/>
  <c r="J12" i="287" a="1"/>
  <c r="J12" i="287" s="1"/>
  <c r="J12" i="286" a="1"/>
  <c r="J12" i="286" s="1"/>
  <c r="J12" i="285" a="1"/>
  <c r="J12" i="285" s="1"/>
  <c r="J12" i="284" a="1"/>
  <c r="J12" i="284" s="1"/>
  <c r="J12" i="283" a="1"/>
  <c r="J12" i="283" s="1"/>
  <c r="J12" i="282" a="1"/>
  <c r="J12" i="282" s="1"/>
  <c r="J12" i="281" a="1"/>
  <c r="J12" i="281" s="1"/>
  <c r="H43" i="139"/>
  <c r="AF14" i="139"/>
  <c r="J99" i="145"/>
  <c r="K99" i="145" s="1"/>
  <c r="L99" i="145" s="1"/>
  <c r="V128" i="145"/>
  <c r="AF42" i="139"/>
  <c r="AF41" i="139"/>
  <c r="H10" i="290" l="1"/>
  <c r="H10" i="289"/>
  <c r="H10" i="288"/>
  <c r="H10" i="287"/>
  <c r="H10" i="286"/>
  <c r="H10" i="285"/>
  <c r="H10" i="284"/>
  <c r="H10" i="283"/>
  <c r="H10" i="282"/>
  <c r="H10" i="281"/>
  <c r="H10" i="291"/>
  <c r="Z48" i="139"/>
  <c r="M99" i="145"/>
  <c r="N99" i="145" s="1"/>
  <c r="O99" i="145" s="1"/>
  <c r="P99" i="145" s="1"/>
  <c r="Q99" i="145" s="1"/>
  <c r="R99" i="145" s="1"/>
  <c r="S99" i="145" s="1"/>
  <c r="T99" i="145" s="1"/>
  <c r="U99" i="145" s="1"/>
  <c r="J12" i="135" a="1"/>
  <c r="J12" i="135" s="1"/>
  <c r="J43" i="139"/>
  <c r="L43" i="139" s="1"/>
  <c r="N43" i="139" s="1"/>
  <c r="P43" i="139" s="1"/>
  <c r="R43" i="139" s="1"/>
  <c r="T43" i="139" s="1"/>
  <c r="V43" i="139" s="1"/>
  <c r="X43" i="139" s="1"/>
  <c r="Z43" i="139" s="1"/>
  <c r="AB43" i="139" s="1"/>
  <c r="AD43" i="139" s="1"/>
  <c r="H10" i="135"/>
  <c r="T3" i="291" l="1"/>
  <c r="T3" i="290"/>
  <c r="T3" i="289"/>
  <c r="T3" i="288"/>
  <c r="T3" i="287"/>
  <c r="T3" i="286"/>
  <c r="T3" i="285"/>
  <c r="T3" i="284"/>
  <c r="T3" i="283"/>
  <c r="T3" i="282"/>
  <c r="T3" i="281"/>
  <c r="T3" i="13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N61" authorId="0" shapeId="0" xr:uid="{79FAD4CE-E0B3-47DC-A578-A4C69C70D01A}">
      <text>
        <r>
          <rPr>
            <b/>
            <sz val="9"/>
            <color indexed="81"/>
            <rFont val="Segoe UI"/>
            <family val="2"/>
          </rPr>
          <t xml:space="preserve">Einstufung
</t>
        </r>
        <r>
          <rPr>
            <sz val="9"/>
            <color indexed="81"/>
            <rFont val="Segoe UI"/>
            <family val="2"/>
          </rPr>
          <t>Einstufung hohes oder tiefes Pensum =&gt; wirkt sich auf Zuschlagsberechnung aus (tief = Max pro Tag, hoch = max pro Woche)</t>
        </r>
      </text>
    </comment>
    <comment ref="P61" authorId="0" shapeId="0" xr:uid="{69363286-9D0E-465A-AEF1-57C64E396338}">
      <text>
        <r>
          <rPr>
            <sz val="9"/>
            <color indexed="81"/>
            <rFont val="Segoe UI"/>
            <family val="2"/>
          </rPr>
          <t xml:space="preserve">Kategorie wird immer für kompletten Monat übernommen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235C1B06-2EF7-4010-8ED1-C08AB9A33E17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E708C6F4-74B2-46FD-9891-A0194AD722C7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8FA56722-1B51-4991-8C86-B1D0B7026721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547ABB75-E405-498E-BF1E-C3B44C6DA330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7546502B-E79E-4305-A258-CE9F9307EC32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A437D8B4-F419-499F-BC3F-65DA5C74CD8D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E4F97DFA-62A0-47BA-B64B-9D6CFB32A553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L9" authorId="0" shapeId="0" xr:uid="{52E8D4DF-0B3D-4D6F-8D7F-4DE9AB4A0289}">
      <text>
        <r>
          <rPr>
            <b/>
            <sz val="9"/>
            <color indexed="81"/>
            <rFont val="Segoe UI"/>
            <family val="2"/>
          </rPr>
          <t xml:space="preserve">ausgeschlossener Tag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Z48" authorId="0" shapeId="0" xr:uid="{6F3BF0B9-17FD-4720-B041-095D73A8CBA7}">
      <text>
        <r>
          <rPr>
            <sz val="9"/>
            <color indexed="81"/>
            <rFont val="Segoe UI"/>
            <family val="2"/>
          </rPr>
          <t xml:space="preserve">Massgebliches Pensum, basiert auf Planungsdaten abzüglich ausgeschlossener Tage.
Alle abgezogenen Tage werden mit der </t>
        </r>
        <r>
          <rPr>
            <u/>
            <sz val="9"/>
            <color indexed="81"/>
            <rFont val="Segoe UI"/>
            <family val="2"/>
          </rPr>
          <t>durchschnittlichen</t>
        </r>
        <r>
          <rPr>
            <sz val="9"/>
            <color indexed="81"/>
            <rFont val="Segoe UI"/>
            <family val="2"/>
          </rPr>
          <t xml:space="preserve"> Stundenzahl berücksichtigt! (auch wenn es sich nach Tabelle um einen arbeitsfreien Tag handelt - dies, da der freie Tag bereits im Durschnitt eingerechnet ist)</t>
        </r>
      </text>
    </comment>
    <comment ref="E51" authorId="0" shapeId="0" xr:uid="{44ED1F18-F89A-489C-B66C-680020F0D4C5}">
      <text>
        <r>
          <rPr>
            <sz val="9"/>
            <color indexed="81"/>
            <rFont val="Segoe UI"/>
            <family val="2"/>
          </rPr>
          <t>auf Basis:
BG Pensum (inkl. Korrektur)</t>
        </r>
      </text>
    </comment>
    <comment ref="V51" authorId="0" shapeId="0" xr:uid="{10E1BBC3-05F2-4B81-A1F9-44ED4D3C8E89}">
      <text>
        <r>
          <rPr>
            <sz val="9"/>
            <color indexed="81"/>
            <rFont val="Segoe UI"/>
            <family val="2"/>
          </rPr>
          <t>Anz. Mnt. mit tiefem Pensum</t>
        </r>
      </text>
    </comment>
    <comment ref="W51" authorId="0" shapeId="0" xr:uid="{23EB1BB2-E83B-46CC-8C65-270FE82DAECE}">
      <text>
        <r>
          <rPr>
            <sz val="9"/>
            <color indexed="81"/>
            <rFont val="Segoe UI"/>
            <family val="2"/>
          </rPr>
          <t>Anz. Mnt. mit hohem Pensum</t>
        </r>
      </text>
    </comment>
    <comment ref="Z60" authorId="0" shapeId="0" xr:uid="{A21BEAAB-CF7F-48BC-B680-0BEB7DAD9A1D}">
      <text>
        <r>
          <rPr>
            <sz val="9"/>
            <color indexed="81"/>
            <rFont val="Segoe UI"/>
            <family val="2"/>
          </rPr>
          <t>Die massgeblichen Sollstunden basieren auf den effektiven Kalendertagen und dem geplanten Pensum. Dies, damit keine Verzerrung durch Pensenanpassungen via Ausschlusstage entsteht.
Beim Prozentualen Pensum hingegen, werden die Ausschlusstage durchschnittlich berücksichtigt.</t>
        </r>
      </text>
    </comment>
    <comment ref="Z182" authorId="0" shapeId="0" xr:uid="{F7E91350-2E9C-46ED-B9DA-4BD9AB4CF244}">
      <text>
        <r>
          <rPr>
            <sz val="9"/>
            <color indexed="81"/>
            <rFont val="Segoe UI"/>
            <family val="2"/>
          </rPr>
          <t>Vorjahressaldo + Jahresguthaben +/- allfällige Korrekturen =&gt; Gesamtwert für Info-Anzeige</t>
        </r>
      </text>
    </comment>
    <comment ref="Z233" authorId="0" shapeId="0" xr:uid="{3D460DF5-8B2B-4C2C-9D6B-D9CFB5713BD9}">
      <text>
        <r>
          <rPr>
            <sz val="9"/>
            <color indexed="81"/>
            <rFont val="Segoe UI"/>
            <family val="2"/>
          </rPr>
          <t>Die massgeblichen Sollstunden basieren auf den effektiven Kalendertagen und dem geplanten Pensum. Dies, damit keine Verzerrung durch Pensenanpassungen via Ausschlusstage entsteht.
Beim Prozentualen Pensum hingegen, werden die Ausschlusstage durchschnittlich berücksichtigt.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E9" authorId="0" shapeId="0" xr:uid="{E5D351AD-3F6B-4F29-A21E-B81C064518AE}">
      <text>
        <r>
          <rPr>
            <b/>
            <sz val="9"/>
            <color indexed="81"/>
            <rFont val="Segoe UI"/>
            <family val="2"/>
          </rPr>
          <t>Achtung:</t>
        </r>
        <r>
          <rPr>
            <sz val="9"/>
            <color indexed="81"/>
            <rFont val="Segoe UI"/>
            <family val="2"/>
          </rPr>
          <t xml:space="preserve">
Die Berechnung funktioniert nur, wenn das Pensum überall korrekt eingetragen wurde. Monate ohne Anstellung = 0%</t>
        </r>
      </text>
    </comment>
    <comment ref="B63" authorId="0" shapeId="0" xr:uid="{7734C61D-0510-4172-AA4B-89FCF8A58062}">
      <text>
        <r>
          <rPr>
            <sz val="9"/>
            <color indexed="81"/>
            <rFont val="Segoe UI"/>
            <family val="2"/>
          </rPr>
          <t>Eingabeformat Std Doppelpunkt Min
also z.B. 08:30 = 8 Std. 30 Min.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9730D946-335D-4E16-90D1-7629DF1A0507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DFEAE0CA-2730-49FC-A7CC-2D76DE947A5D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99021E82-7DFB-4B3A-89AC-B3E39F9D9342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F04506F7-38F1-451F-BBCC-6B5E4DECF6CC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2FF0DAA8-DCDF-479A-AB52-8843EDA02FE3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<sst xmlns="http://schemas.openxmlformats.org/spreadsheetml/2006/main" count="2327" uniqueCount="867">
  <si>
    <t>Arbeitszeitkontrolle SMGV - Konfiguration</t>
  </si>
  <si>
    <t>Jahr</t>
  </si>
  <si>
    <t>Sprache</t>
  </si>
  <si>
    <t>Deutsch</t>
  </si>
  <si>
    <t>Jahresinfo</t>
  </si>
  <si>
    <t>Schaltjahr</t>
  </si>
  <si>
    <t>Erster Tag d. Jahres</t>
  </si>
  <si>
    <t>Arbeitstage (netto)</t>
  </si>
  <si>
    <t>Tage</t>
  </si>
  <si>
    <t>Kalender =&gt;</t>
  </si>
  <si>
    <t>Pensenstufen</t>
  </si>
  <si>
    <t>Zuschläge (Ansätze)</t>
  </si>
  <si>
    <t>Hohes Pensum</t>
  </si>
  <si>
    <t>-</t>
  </si>
  <si>
    <t>[1] Höchstarbeitzeit</t>
  </si>
  <si>
    <t>Tiefes Pensum</t>
  </si>
  <si>
    <t>[2] Nachtarbeit</t>
  </si>
  <si>
    <t>[2] Sonn- &amp; Feiertage</t>
  </si>
  <si>
    <t>Regelarbeitszeit (bei 100% Pensum)</t>
  </si>
  <si>
    <t>Modus</t>
  </si>
  <si>
    <t>Tagesarbeitszeit</t>
  </si>
  <si>
    <t>Regelstd / Tag</t>
  </si>
  <si>
    <t>Stunden</t>
  </si>
  <si>
    <t>Jahresbruttosollstd.</t>
  </si>
  <si>
    <t>max Std / Tag</t>
  </si>
  <si>
    <t>min Std / Tag</t>
  </si>
  <si>
    <t>max Std / Woche</t>
  </si>
  <si>
    <t>min Std / Woche</t>
  </si>
  <si>
    <t>Vorgabe (Variante Tagesarbeitszeit)</t>
  </si>
  <si>
    <t>Vorgabe (Variante Jahresarbeitszeit)</t>
  </si>
  <si>
    <t>Basisdaten &amp; grundlegende Hilfstabellen</t>
  </si>
  <si>
    <t>Version AZK</t>
  </si>
  <si>
    <t>Debug</t>
  </si>
  <si>
    <t>nein</t>
  </si>
  <si>
    <t>ErsterJanuar</t>
  </si>
  <si>
    <t>Kontrolle Datumsformat (Sprach-Fix)</t>
  </si>
  <si>
    <t>Name</t>
  </si>
  <si>
    <t>Geburtsdatum</t>
  </si>
  <si>
    <t>Jahrgang</t>
  </si>
  <si>
    <t>Adresse</t>
  </si>
  <si>
    <t>Ferienanspruch</t>
  </si>
  <si>
    <t>Berechnung Ferienanspruch anhand des Alters</t>
  </si>
  <si>
    <t>Stichdatum</t>
  </si>
  <si>
    <t>Alter</t>
  </si>
  <si>
    <t>Ferien Kat</t>
  </si>
  <si>
    <t>Ferien in T</t>
  </si>
  <si>
    <t>Altersbereich</t>
  </si>
  <si>
    <t>Min. Alter</t>
  </si>
  <si>
    <t>Max. Alter</t>
  </si>
  <si>
    <t>Anspruch Tage</t>
  </si>
  <si>
    <t>Anspruch / Mnt</t>
  </si>
  <si>
    <t>Anspruch Std. VZ</t>
  </si>
  <si>
    <t>&lt;= 20</t>
  </si>
  <si>
    <t>21 - 50</t>
  </si>
  <si>
    <t>&gt;&gt; in Std.</t>
  </si>
  <si>
    <t>Mnt bis Geb.</t>
  </si>
  <si>
    <t>Pensum / Beschäftigungsgrad</t>
  </si>
  <si>
    <t>Daten aus Basisblatt übernommen, effektiver BG aus H_MNT</t>
  </si>
  <si>
    <t>%</t>
  </si>
  <si>
    <t>MO</t>
  </si>
  <si>
    <t>DI</t>
  </si>
  <si>
    <t>MI</t>
  </si>
  <si>
    <t>DO</t>
  </si>
  <si>
    <t>FR</t>
  </si>
  <si>
    <t>Ø AT</t>
  </si>
  <si>
    <t>Ø Std/Tag</t>
  </si>
  <si>
    <t>effekt. BG</t>
  </si>
  <si>
    <t>Einstufung</t>
  </si>
  <si>
    <t>Jan</t>
  </si>
  <si>
    <t>Feb</t>
  </si>
  <si>
    <t>Mrz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</si>
  <si>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</si>
  <si>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</si>
  <si>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</si>
  <si>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</si>
  <si>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</si>
  <si>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</si>
  <si>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</si>
  <si>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</si>
  <si>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</si>
  <si>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Ø</t>
  </si>
  <si>
    <t>WT</t>
  </si>
  <si>
    <t>Liste Monatsblätter</t>
  </si>
  <si>
    <t>M#</t>
  </si>
  <si>
    <t>M kurz</t>
  </si>
  <si>
    <t>Monat</t>
  </si>
  <si>
    <t>Arbeitsblatt</t>
  </si>
  <si>
    <t>JAN</t>
  </si>
  <si>
    <t>Januar</t>
  </si>
  <si>
    <t>FEB</t>
  </si>
  <si>
    <t>Februar</t>
  </si>
  <si>
    <t>MRZ</t>
  </si>
  <si>
    <t>März</t>
  </si>
  <si>
    <t>APR</t>
  </si>
  <si>
    <t>April</t>
  </si>
  <si>
    <t>MAI</t>
  </si>
  <si>
    <t>JUN</t>
  </si>
  <si>
    <t>Juni</t>
  </si>
  <si>
    <t>JUL</t>
  </si>
  <si>
    <t>Juli</t>
  </si>
  <si>
    <t>AUG</t>
  </si>
  <si>
    <t>August</t>
  </si>
  <si>
    <t>SEP</t>
  </si>
  <si>
    <t>September</t>
  </si>
  <si>
    <t>OKT</t>
  </si>
  <si>
    <t>Oktober</t>
  </si>
  <si>
    <t>NOV</t>
  </si>
  <si>
    <t>November</t>
  </si>
  <si>
    <t>DEZ</t>
  </si>
  <si>
    <t>Dezember</t>
  </si>
  <si>
    <t>Namensverzeichnis &amp; Legende</t>
  </si>
  <si>
    <t>Feld / Bezeichnung</t>
  </si>
  <si>
    <t>Anzeige</t>
  </si>
  <si>
    <t>Anmerkungen</t>
  </si>
  <si>
    <t>Übersicht für das Jahr</t>
  </si>
  <si>
    <t>DEBUG &gt;&gt;</t>
  </si>
  <si>
    <t>Jahr 
manuell</t>
  </si>
  <si>
    <t>Norm-Arbeitszeit</t>
  </si>
  <si>
    <t>Std/Tag</t>
  </si>
  <si>
    <t>Netto-Arbeitstage</t>
  </si>
  <si>
    <t>&gt;&gt;</t>
  </si>
  <si>
    <t>Brutto-Soll bei 100%</t>
  </si>
  <si>
    <t>Std.</t>
  </si>
  <si>
    <t>Brutto-Soll effektiv</t>
  </si>
  <si>
    <t>Tag #</t>
  </si>
  <si>
    <t>Datum</t>
  </si>
  <si>
    <t>Monat #</t>
  </si>
  <si>
    <t>KW (Iso)</t>
  </si>
  <si>
    <t>Tag (Mnt)</t>
  </si>
  <si>
    <t>WT #</t>
  </si>
  <si>
    <t>FT</t>
  </si>
  <si>
    <t>AS</t>
  </si>
  <si>
    <t>Karenz</t>
  </si>
  <si>
    <t>Arbeitstag</t>
  </si>
  <si>
    <t>Arbeitstag 
% AS</t>
  </si>
  <si>
    <t>Soll bei 
100%</t>
  </si>
  <si>
    <t>BG
nach Plan</t>
  </si>
  <si>
    <t>Soll
nach BG</t>
  </si>
  <si>
    <t>BG 
effektiv</t>
  </si>
  <si>
    <t>Soll
effektiv</t>
  </si>
  <si>
    <t>Produktiv
Tag</t>
  </si>
  <si>
    <t>Produktiv
Nacht 
0-6</t>
  </si>
  <si>
    <t>Produktiv
Nacht 
20-24</t>
  </si>
  <si>
    <t>Total 
Produktiv</t>
  </si>
  <si>
    <t>Gutschrift 
FT
nach BG</t>
  </si>
  <si>
    <t>Gutschrift 
Nacht</t>
  </si>
  <si>
    <t>Gutschrift 
Sonntag</t>
  </si>
  <si>
    <t>Total
Gutschrift
p. Tag</t>
  </si>
  <si>
    <t>Total 
P + G</t>
  </si>
  <si>
    <t>Monatsenden</t>
  </si>
  <si>
    <t>Hilfstabellen Ebene Monat</t>
  </si>
  <si>
    <t>Vortrag</t>
  </si>
  <si>
    <t>Total</t>
  </si>
  <si>
    <t>Übetrag</t>
  </si>
  <si>
    <t>Soll VZ</t>
  </si>
  <si>
    <t>Soll BG effektiv</t>
  </si>
  <si>
    <t>Nacht 0-6</t>
  </si>
  <si>
    <t>Nacht 20-24</t>
  </si>
  <si>
    <t>Nacht total</t>
  </si>
  <si>
    <t>Tag 6-20</t>
  </si>
  <si>
    <t>Tagestotal</t>
  </si>
  <si>
    <t>Produktiv-Stunden</t>
  </si>
  <si>
    <t>Zuschläge kumuliert</t>
  </si>
  <si>
    <t>Feiertage</t>
  </si>
  <si>
    <t>Ferien</t>
  </si>
  <si>
    <t>unbezahlte Ferien</t>
  </si>
  <si>
    <t>bezahlte Absenzen</t>
  </si>
  <si>
    <t>Monatssaldo kumuliert</t>
  </si>
  <si>
    <t>effektiven BG berechnen</t>
  </si>
  <si>
    <t>Anzahl Wochentage MO - FR (unabhängig vom indiv. Pensum)</t>
  </si>
  <si>
    <t>Sollstunden bei Vollzeit (=100% Pensum)</t>
  </si>
  <si>
    <t>Pensum gemäss Eintrag in Tabelle</t>
  </si>
  <si>
    <t>Pensum unter Berücksichtiung der Anzahl Wochentage MO-FR (mit Gewichtung der Tage)</t>
  </si>
  <si>
    <t>Pensum unter Abzug allfälliger Korrekturtage (z.B. bei Stellenantritt mitten im Monat)</t>
  </si>
  <si>
    <t>Pensenkategorie</t>
  </si>
  <si>
    <t>Gutschriften und Zuschläge</t>
  </si>
  <si>
    <t>Gutschriften Feiertage</t>
  </si>
  <si>
    <t>Zuschläge [1] MaxAZ</t>
  </si>
  <si>
    <t>Kat Z[1]</t>
  </si>
  <si>
    <t>Zuschläge [2] Nacht</t>
  </si>
  <si>
    <t>Zuschläge [3] Sonn und FT</t>
  </si>
  <si>
    <t>Z1 - Z3 kumuliert</t>
  </si>
  <si>
    <t>Übersicht nach Tagen (Anzahl)</t>
  </si>
  <si>
    <t>ft</t>
  </si>
  <si>
    <t>f</t>
  </si>
  <si>
    <t>Art 12.1 GAV</t>
  </si>
  <si>
    <t>Absenzen, Kurzabsenzen</t>
  </si>
  <si>
    <t>a</t>
  </si>
  <si>
    <t>Art. 11 GAV</t>
  </si>
  <si>
    <t>Krankheit</t>
  </si>
  <si>
    <t>k</t>
  </si>
  <si>
    <t>Art. 13 GAV</t>
  </si>
  <si>
    <t>Unfall</t>
  </si>
  <si>
    <t>u</t>
  </si>
  <si>
    <t>Art. 14 GAV</t>
  </si>
  <si>
    <t>Elternschaft</t>
  </si>
  <si>
    <t>e</t>
  </si>
  <si>
    <t>Art. 15 GAV</t>
  </si>
  <si>
    <t>Militär</t>
  </si>
  <si>
    <t>m</t>
  </si>
  <si>
    <t>Art. 16 GAV</t>
  </si>
  <si>
    <t>Berufsschule</t>
  </si>
  <si>
    <t>bs</t>
  </si>
  <si>
    <t>Kurse</t>
  </si>
  <si>
    <t>ku</t>
  </si>
  <si>
    <t>Kurzarbeit &amp; Schlechtwetter</t>
  </si>
  <si>
    <t>ka</t>
  </si>
  <si>
    <t>Kompensation</t>
  </si>
  <si>
    <t>Stundensaldo Start (+)</t>
  </si>
  <si>
    <t>Kompensation VJ</t>
  </si>
  <si>
    <t>Auzahlung VJ</t>
  </si>
  <si>
    <t>Kompensation laufend</t>
  </si>
  <si>
    <t>Auzahlung laufend</t>
  </si>
  <si>
    <t>Feiertage Anz</t>
  </si>
  <si>
    <t>Feiertage Std</t>
  </si>
  <si>
    <t>Art. 12.1 GAV</t>
  </si>
  <si>
    <t>VJ</t>
  </si>
  <si>
    <t>FJ</t>
  </si>
  <si>
    <t>Ferien (Korrektur)</t>
  </si>
  <si>
    <t>Ferienbezug</t>
  </si>
  <si>
    <t>Feriensaldo Ende</t>
  </si>
  <si>
    <t>davon Karenz</t>
  </si>
  <si>
    <t>unbezahlte unproduktive Stunden / Kontrolle</t>
  </si>
  <si>
    <t>Ferien unbezahlt</t>
  </si>
  <si>
    <t>fu</t>
  </si>
  <si>
    <t>Fehlstunden</t>
  </si>
  <si>
    <t>fe</t>
  </si>
  <si>
    <t>Karenztage</t>
  </si>
  <si>
    <t>kt</t>
  </si>
  <si>
    <t>Ausschluss</t>
  </si>
  <si>
    <t>as</t>
  </si>
  <si>
    <t>Hilfstabellen Kalenderwochen</t>
  </si>
  <si>
    <t>Hilfstabelle Kalenderwochen</t>
  </si>
  <si>
    <t>Monat &gt;&gt;</t>
  </si>
  <si>
    <t>Kalenderw.</t>
  </si>
  <si>
    <t>Soll bei 100%</t>
  </si>
  <si>
    <t>Soll nach BG</t>
  </si>
  <si>
    <t>Nacht 00-06</t>
  </si>
  <si>
    <t>Summe Nacht</t>
  </si>
  <si>
    <t>Tag 06-20</t>
  </si>
  <si>
    <t>Produktiv Total o.Z.</t>
  </si>
  <si>
    <t>Diff. Max WZ</t>
  </si>
  <si>
    <t>Zuschlag Woche</t>
  </si>
  <si>
    <t>Hilfstabellen Ebene Tag</t>
  </si>
  <si>
    <t>Hilfstabelle Ebene Tag</t>
  </si>
  <si>
    <t>Beschriftungen</t>
  </si>
  <si>
    <t xml:space="preserve">Achtung: </t>
  </si>
  <si>
    <t>lange Texte sind jeweils manuell einzusetzen</t>
  </si>
  <si>
    <t>Verfügbare Sprachen</t>
  </si>
  <si>
    <t>Code</t>
  </si>
  <si>
    <t>Quick-Access</t>
  </si>
  <si>
    <t>DE</t>
  </si>
  <si>
    <t>Basisfelder &amp; Steuerelemente</t>
  </si>
  <si>
    <t>English</t>
  </si>
  <si>
    <t>EN</t>
  </si>
  <si>
    <t>Monatsblätter</t>
  </si>
  <si>
    <t>Français</t>
  </si>
  <si>
    <t>Jahresauswertung</t>
  </si>
  <si>
    <t>Italiano</t>
  </si>
  <si>
    <t>IT</t>
  </si>
  <si>
    <t>Spezialfelder / Reserve</t>
  </si>
  <si>
    <t>gewählte 
Sprache</t>
  </si>
  <si>
    <t>Info Index 2</t>
  </si>
  <si>
    <t>Index 2 gibt den local-Code passend zur Sprache an</t>
  </si>
  <si>
    <t>ACHTUNG:</t>
  </si>
  <si>
    <t>Nur die Benutzer-Blätter werden lokalisiert, Admin und Hilfsseiten sind auf Deutsch</t>
  </si>
  <si>
    <t>Index</t>
  </si>
  <si>
    <t>Dargestellt</t>
  </si>
  <si>
    <t>ANMERKUNGEN</t>
  </si>
  <si>
    <t>Basisfelder (gesamtes Dokument) &amp; Steuerungselemente</t>
  </si>
  <si>
    <t>[$-807]</t>
  </si>
  <si>
    <t>[$-409]</t>
  </si>
  <si>
    <t>[$-40C]</t>
  </si>
  <si>
    <t>[$-410]</t>
  </si>
  <si>
    <t>[$-407]</t>
  </si>
  <si>
    <t>Datumsformat mittels local code setzen</t>
  </si>
  <si>
    <t>407 = Deutschland, wg. Wochentagen ohne .</t>
  </si>
  <si>
    <t>SMGV</t>
  </si>
  <si>
    <t>ASEPP</t>
  </si>
  <si>
    <t>ASIPG</t>
  </si>
  <si>
    <t>Verbandsbezeichnung</t>
  </si>
  <si>
    <t>GAV</t>
  </si>
  <si>
    <t>CEC</t>
  </si>
  <si>
    <t>CCT</t>
  </si>
  <si>
    <t>CCL</t>
  </si>
  <si>
    <t>Bezeichnung Gesamtarbeitsvertrag</t>
  </si>
  <si>
    <t>Kontrolle</t>
  </si>
  <si>
    <t>Record</t>
  </si>
  <si>
    <t>Contrôle</t>
  </si>
  <si>
    <t>Controllo</t>
  </si>
  <si>
    <t>Titel</t>
  </si>
  <si>
    <t>Info</t>
  </si>
  <si>
    <t>Titel Info-Abschnitt (Monatsblätter)</t>
  </si>
  <si>
    <t>Arbeitszeitkontrolle SMGV - Basisblatt</t>
  </si>
  <si>
    <t>.</t>
  </si>
  <si>
    <t>Bemerkungen</t>
  </si>
  <si>
    <t>Visum Mitarbeiter:in</t>
  </si>
  <si>
    <t>Visum vorgesetzte Stelle</t>
  </si>
  <si>
    <t>Woche</t>
  </si>
  <si>
    <t>Kalenderwoche</t>
  </si>
  <si>
    <t>KW</t>
  </si>
  <si>
    <t>Tag</t>
  </si>
  <si>
    <t>Stunde</t>
  </si>
  <si>
    <t>Std</t>
  </si>
  <si>
    <t>Feiertagskalender</t>
  </si>
  <si>
    <t>Feiertage mit einem kleinen x ankreuzen</t>
  </si>
  <si>
    <t>Firma</t>
  </si>
  <si>
    <t>Mitarbeiter:in</t>
  </si>
  <si>
    <t>Vorjahr (Übertrag)</t>
  </si>
  <si>
    <t>laufendes Jahr</t>
  </si>
  <si>
    <t>Stundensaldo</t>
  </si>
  <si>
    <t>Feriensaldo</t>
  </si>
  <si>
    <t>Ferienguthaben</t>
  </si>
  <si>
    <t>Pensum (Beschäftigungsgrad)</t>
  </si>
  <si>
    <t>Bitte für jeden Arbeitstag das passende Pensum angeben | für arbeitsfreie Tage 0 eingeben</t>
  </si>
  <si>
    <t>alle Monate gleich</t>
  </si>
  <si>
    <t xml:space="preserve">   alle Tage gleich</t>
  </si>
  <si>
    <t>Umrechnungshilfe Tagesarbeitszeit</t>
  </si>
  <si>
    <t>ja</t>
  </si>
  <si>
    <t>Zeit
hh:mm</t>
  </si>
  <si>
    <t>Zeit
dezimal</t>
  </si>
  <si>
    <t xml:space="preserve">A r b e i t s z e i t k o n t r o l l e </t>
  </si>
  <si>
    <t xml:space="preserve">Contrôle des heures de travail </t>
  </si>
  <si>
    <t>Controllo d'orario di lavoro</t>
  </si>
  <si>
    <t>Kontrollblatt-Bezeichnung</t>
  </si>
  <si>
    <t>Anstellung %</t>
  </si>
  <si>
    <t>im</t>
  </si>
  <si>
    <t>Saldo für das Jahr</t>
  </si>
  <si>
    <t>Saldo Monat + / -</t>
  </si>
  <si>
    <t xml:space="preserve"> = </t>
  </si>
  <si>
    <t>Nur die gelben Felder sind Eingabefelder</t>
  </si>
  <si>
    <t>Only yellow fields are input-fields</t>
  </si>
  <si>
    <t>Sollstunden</t>
  </si>
  <si>
    <t>Produktivstunden</t>
  </si>
  <si>
    <t>00.00-06.00h</t>
  </si>
  <si>
    <t>00h00-06h00</t>
  </si>
  <si>
    <t>00.00-06.00</t>
  </si>
  <si>
    <t>06.00-20.00h</t>
  </si>
  <si>
    <t>06h00-20h00</t>
  </si>
  <si>
    <t>06.00-20.00</t>
  </si>
  <si>
    <t>20.00-24.00h</t>
  </si>
  <si>
    <t>20h00-24h00</t>
  </si>
  <si>
    <t>20.00-24.00</t>
  </si>
  <si>
    <t>Wochentotal</t>
  </si>
  <si>
    <t>Gutschrift "ft"</t>
  </si>
  <si>
    <t>Credit "ft"</t>
  </si>
  <si>
    <t>Majoration  "jf"</t>
  </si>
  <si>
    <t>Credito "gf"</t>
  </si>
  <si>
    <t>Zeitzuschlag 1)</t>
  </si>
  <si>
    <t>Bonus hours 1)</t>
  </si>
  <si>
    <t>Majorations temp. 1)</t>
  </si>
  <si>
    <t>Supplemento in ore 1)</t>
  </si>
  <si>
    <t>Zeitzuschlag 2)</t>
  </si>
  <si>
    <t>Bonus hours 2)</t>
  </si>
  <si>
    <t>Majorations temp. 2)</t>
  </si>
  <si>
    <t>Supplemento in ore 2)</t>
  </si>
  <si>
    <t>Zeitzuschlag 3)</t>
  </si>
  <si>
    <t>Bonus hours 3)</t>
  </si>
  <si>
    <t>Majorations temp. 3)</t>
  </si>
  <si>
    <t>Supplemento in ore 3)</t>
  </si>
  <si>
    <t>Unproduktive Stunden</t>
  </si>
  <si>
    <t>Kompensation Vorjahr</t>
  </si>
  <si>
    <t>Kurzarbeit und Schlechtwetter</t>
  </si>
  <si>
    <t>Fehlstunden unbezahlt</t>
  </si>
  <si>
    <t>Unproduktive Std. Total</t>
  </si>
  <si>
    <t>Steuerung &amp; Korrekturen</t>
  </si>
  <si>
    <t>Korrektur-Tage mit einem x markieren =&gt;</t>
  </si>
  <si>
    <t>Karenztag (Krankheit)</t>
  </si>
  <si>
    <t>Tag ausschliessen</t>
  </si>
  <si>
    <t>manuelle Korrekturen</t>
  </si>
  <si>
    <t>Ausbezahlte Stunden Vorjahressaldo</t>
  </si>
  <si>
    <t>Ausbezahlte Stunden laufendes Jahr (Überstunden)</t>
  </si>
  <si>
    <t>Gutschrift / Abzug Ferien</t>
  </si>
  <si>
    <t>Ich habe die Monatsabrechnung kontrolliert und auf ihre Richtigkeit geprüft</t>
  </si>
  <si>
    <t>Arbeitszeitkontrolle für</t>
  </si>
  <si>
    <t>Jahresübersicht</t>
  </si>
  <si>
    <t>Zusammenstellung</t>
  </si>
  <si>
    <t>Report</t>
  </si>
  <si>
    <t>Résumé</t>
  </si>
  <si>
    <t>Sollstunden gemäss GAV</t>
  </si>
  <si>
    <t>Planed hours acc.to CEC</t>
  </si>
  <si>
    <t>Heures théoriques selon CCT</t>
  </si>
  <si>
    <t>Orario teoricamente sec. CCL</t>
  </si>
  <si>
    <t>Produktive Stunden</t>
  </si>
  <si>
    <t>Productive hours</t>
  </si>
  <si>
    <t>Total heures productives</t>
  </si>
  <si>
    <t>Orario produttivo totale</t>
  </si>
  <si>
    <t>nuit, dimanche et jour férié</t>
  </si>
  <si>
    <t>Zeitzuschläge</t>
  </si>
  <si>
    <t>Bonus time</t>
  </si>
  <si>
    <t>Majorations temporelles</t>
  </si>
  <si>
    <t>Supplemento in ore</t>
  </si>
  <si>
    <t>aus Überschreitung Höchstarbeitszeit</t>
  </si>
  <si>
    <t>for exceeding max. hours</t>
  </si>
  <si>
    <t>depassement des heures maximales</t>
  </si>
  <si>
    <t>ore maximale</t>
  </si>
  <si>
    <t>aus Nacht-, Sonn-, Feiertagsarbeiten</t>
  </si>
  <si>
    <t>for night, Sundays and holiday work</t>
  </si>
  <si>
    <t>di notturno, domenica e festivo</t>
  </si>
  <si>
    <t>Idle hours</t>
  </si>
  <si>
    <t>Heures inproductives</t>
  </si>
  <si>
    <t>orario non produttivo</t>
  </si>
  <si>
    <t>Absenzen, Kurzabsenzen Art. 11 GAV</t>
  </si>
  <si>
    <t>Abcenses, Short abcenses Art. 11 CEC</t>
  </si>
  <si>
    <t>Absences art. 11 CCT</t>
  </si>
  <si>
    <t>Assenze art. 11 CCL</t>
  </si>
  <si>
    <t>Ferien Art. 12.1 GAV</t>
  </si>
  <si>
    <t>Holidays Art. 12.1 CEC</t>
  </si>
  <si>
    <t>Vacances art. 12.1 CCT</t>
  </si>
  <si>
    <t>Vacanze art. 12.1 CCL</t>
  </si>
  <si>
    <t>Feiertage Art. 12.2 GAV</t>
  </si>
  <si>
    <t>Public Holidays Art. 12.2 CEC</t>
  </si>
  <si>
    <t>Jours fériés art. 12.2 CCT</t>
  </si>
  <si>
    <t>Giorni festivi art. 12.2 CCL</t>
  </si>
  <si>
    <t>zu viele ft !</t>
  </si>
  <si>
    <t>Too many ft !</t>
  </si>
  <si>
    <t>trop de jf !</t>
  </si>
  <si>
    <t>tropo giorni festivi !</t>
  </si>
  <si>
    <t>Krankheit Art. 13 GAV</t>
  </si>
  <si>
    <t>Illness Art. 13 CEC</t>
  </si>
  <si>
    <t>Maladie art. 13 CCT</t>
  </si>
  <si>
    <t>Malattia art. 13 CCL</t>
  </si>
  <si>
    <t>ab</t>
  </si>
  <si>
    <t>Unfall Art. 14 GAV</t>
  </si>
  <si>
    <t>Accident Art. 14 CEC</t>
  </si>
  <si>
    <t>Accident art. 14 CCT</t>
  </si>
  <si>
    <t>Infortunio art. 14 CCL</t>
  </si>
  <si>
    <t>va</t>
  </si>
  <si>
    <t>Parent leave Art. 15 CEC</t>
  </si>
  <si>
    <t>Military service/promotion/civil defence Art. 16. CEC</t>
  </si>
  <si>
    <t>Militaire/Promotion/Protection civile art. 16 CCT</t>
  </si>
  <si>
    <t>Militare/Promotione/Civile art. 16 CCL</t>
  </si>
  <si>
    <t>Kurzarbeit und Schlechtwetterausfälle</t>
  </si>
  <si>
    <t>Short-time work/bad weather</t>
  </si>
  <si>
    <t>jf</t>
  </si>
  <si>
    <t>gf</t>
  </si>
  <si>
    <t>School</t>
  </si>
  <si>
    <t>Ecole professionnelle</t>
  </si>
  <si>
    <t>Courses</t>
  </si>
  <si>
    <t>Cours</t>
  </si>
  <si>
    <t>ma</t>
  </si>
  <si>
    <t>Saldo Vorjahr</t>
  </si>
  <si>
    <t>Compensation hours</t>
  </si>
  <si>
    <t>Heures de compensation</t>
  </si>
  <si>
    <t>ac</t>
  </si>
  <si>
    <t>in</t>
  </si>
  <si>
    <t>Auszahlung Vorjahr</t>
  </si>
  <si>
    <t>Differenz</t>
  </si>
  <si>
    <t>difference</t>
  </si>
  <si>
    <t>Différence en heures</t>
  </si>
  <si>
    <t>nach Kompensation und Auszahlung</t>
  </si>
  <si>
    <t>after compensation and payment</t>
  </si>
  <si>
    <t>après compensation et paiement</t>
  </si>
  <si>
    <t>current year (verification)</t>
  </si>
  <si>
    <t>de l'année en cours (contrôle)</t>
  </si>
  <si>
    <t>mi</t>
  </si>
  <si>
    <t>Auszahlung Überstunden</t>
  </si>
  <si>
    <t>ch</t>
  </si>
  <si>
    <t>Total inkl. Zeitzuschläge</t>
  </si>
  <si>
    <t>ep</t>
  </si>
  <si>
    <t>Stunden produktiv &amp; unproduktiv</t>
  </si>
  <si>
    <t>Vergleich</t>
  </si>
  <si>
    <t>co</t>
  </si>
  <si>
    <t>Stunden zu Soll-Stunden 
(kumuliert)</t>
  </si>
  <si>
    <t>kv</t>
  </si>
  <si>
    <t>cp</t>
  </si>
  <si>
    <t>kj</t>
  </si>
  <si>
    <t>cc</t>
  </si>
  <si>
    <t>payment of hours</t>
  </si>
  <si>
    <t>Paiement des heures</t>
  </si>
  <si>
    <t>hours prev. Year</t>
  </si>
  <si>
    <t>hm</t>
  </si>
  <si>
    <t>heures productives et inproductives</t>
  </si>
  <si>
    <t>Ferienkontrolle</t>
  </si>
  <si>
    <t>Ferienguthaben Vorjahr</t>
  </si>
  <si>
    <t>Ferienguthaben nach GAV</t>
  </si>
  <si>
    <t>Ferienguthaben total</t>
  </si>
  <si>
    <t>Ferien bezogen</t>
  </si>
  <si>
    <t>Ferien (Korrekturen)</t>
  </si>
  <si>
    <t>regulärer Kompensationszeitraum</t>
  </si>
  <si>
    <t>Status Kompensation</t>
  </si>
  <si>
    <t>Fehler! Überkompensation</t>
  </si>
  <si>
    <t>Ich habe die Jahresabrechnung kontrolliert und auf ihre Richtigkeit geprüft</t>
  </si>
  <si>
    <t>Übertrag für das Jahr</t>
  </si>
  <si>
    <t>Ferien Übertrag</t>
  </si>
  <si>
    <t>Spezial &amp; Reserve</t>
  </si>
  <si>
    <t>semaine civile</t>
  </si>
  <si>
    <t>Telefon</t>
  </si>
  <si>
    <t>Maximilian Muster</t>
  </si>
  <si>
    <t>Strasse Nr</t>
  </si>
  <si>
    <t>PLZ Ort</t>
  </si>
  <si>
    <t>E-Mail</t>
  </si>
  <si>
    <t>Eintrittsdatum</t>
  </si>
  <si>
    <t>Ferien automatisch berechnen</t>
  </si>
  <si>
    <t>effektiver BG</t>
  </si>
  <si>
    <t>Prüfung Monatesende (=2) &gt;&gt;</t>
  </si>
  <si>
    <t>Kalkulationszeile Datum &gt;&gt;</t>
  </si>
  <si>
    <t>Saldowirksamkeit</t>
  </si>
  <si>
    <t>AHV-Nummer</t>
  </si>
  <si>
    <t>Hilfszeile 1 bis 31 &gt;&gt;</t>
  </si>
  <si>
    <t>Monatskontrolle j/n &gt;&gt;</t>
  </si>
  <si>
    <t>Formatierungshilfe</t>
  </si>
  <si>
    <t>Datenfeld (Zeile/Spalte) =&gt; bezieht Daten aus anderen Tabellenblättern</t>
  </si>
  <si>
    <t>Kalkulationsfeld (Zeile/Spalte) =&gt; kalkuliert Werte</t>
  </si>
  <si>
    <t>Quelle</t>
  </si>
  <si>
    <t>50 - 59</t>
  </si>
  <si>
    <t>60+</t>
  </si>
  <si>
    <t>Hilfstabellen Ebene Jahr</t>
  </si>
  <si>
    <t>Infofeld (Zeile/Spalte) =&gt; reine Information zu besseren Übersicht (verweis innerhalb Tabellenblatt oder Fixwert)</t>
  </si>
  <si>
    <t>Zeile 25: "Soll BG effektiv"</t>
  </si>
  <si>
    <t>Monatsblätter: AM18</t>
  </si>
  <si>
    <t>Monatsblätter: AM19</t>
  </si>
  <si>
    <t>Monatsblätter: AL23</t>
  </si>
  <si>
    <t>Monatsblätter: AL24</t>
  </si>
  <si>
    <t>Monatsblätter: AL25</t>
  </si>
  <si>
    <t xml:space="preserve">T i m e s h e e t </t>
  </si>
  <si>
    <t>negatives Vorjahressaldo</t>
  </si>
  <si>
    <t>Saldoübertrag</t>
  </si>
  <si>
    <t>Stunden zu Soll-Stunden
(inkl. Vorjahresstunden)</t>
  </si>
  <si>
    <r>
      <t xml:space="preserve">Summe </t>
    </r>
    <r>
      <rPr>
        <sz val="9"/>
        <rFont val="Segoe UI Emoji"/>
        <family val="2"/>
      </rPr>
      <t>↓</t>
    </r>
  </si>
  <si>
    <r>
      <t xml:space="preserve">Anzahl </t>
    </r>
    <r>
      <rPr>
        <sz val="9"/>
        <rFont val="Segoe UI Emoji"/>
        <family val="2"/>
      </rPr>
      <t>↓</t>
    </r>
  </si>
  <si>
    <r>
      <t xml:space="preserve">Anz. Einträge </t>
    </r>
    <r>
      <rPr>
        <sz val="9"/>
        <rFont val="Segoe UI Emoji"/>
        <family val="2"/>
      </rPr>
      <t>↓</t>
    </r>
  </si>
  <si>
    <r>
      <t xml:space="preserve">Anz. ganze Tage </t>
    </r>
    <r>
      <rPr>
        <sz val="9"/>
        <rFont val="Segoe UI Emoji"/>
        <family val="2"/>
      </rPr>
      <t>↓</t>
    </r>
  </si>
  <si>
    <t>x</t>
  </si>
  <si>
    <t>Unbezahlte Absenzen</t>
  </si>
  <si>
    <t>Quelle Basisblatt</t>
  </si>
  <si>
    <t>Quelle Hilfsblatt</t>
  </si>
  <si>
    <t>Quelle Monatsblatt</t>
  </si>
  <si>
    <t>Quelle Jahresauswertung</t>
  </si>
  <si>
    <t>andere Quelle</t>
  </si>
  <si>
    <t xml:space="preserve"> </t>
  </si>
  <si>
    <t>Fehlstunden (Kontrolle)</t>
  </si>
  <si>
    <t>(1) effektiver BG, aus Kalender berrechnet (wochentagsgenau!)</t>
  </si>
  <si>
    <t>(2) effektiver BG, durchschn. Pensum abzüglich Ausschlusstage (Basis: durchschnittl. Arbeitstage)</t>
  </si>
  <si>
    <t>Kalender BG &gt;&gt;</t>
  </si>
  <si>
    <r>
      <t xml:space="preserve">effektiver BG ( </t>
    </r>
    <r>
      <rPr>
        <sz val="9"/>
        <rFont val="Calibri"/>
        <family val="2"/>
      </rPr>
      <t>Ø</t>
    </r>
    <r>
      <rPr>
        <sz val="9"/>
        <rFont val="Arial Narrow"/>
        <family val="2"/>
      </rPr>
      <t xml:space="preserve"> )  </t>
    </r>
    <r>
      <rPr>
        <sz val="9"/>
        <rFont val="Segoe UI Emoji"/>
        <family val="2"/>
      </rPr>
      <t>↓</t>
    </r>
  </si>
  <si>
    <t>BG Kalender (1)</t>
  </si>
  <si>
    <t>BG effektiv AVG (2)</t>
  </si>
  <si>
    <t>Sollstunden (VZ)</t>
  </si>
  <si>
    <t>Konfigurierter Monat</t>
  </si>
  <si>
    <t>KW von…bis</t>
  </si>
  <si>
    <t>berechnet mit lokalen Feldern</t>
  </si>
  <si>
    <t>berechnet mit Verweisfeldern</t>
  </si>
  <si>
    <t>nur falls relevant =&gt;</t>
  </si>
  <si>
    <r>
      <rPr>
        <sz val="10"/>
        <rFont val="Segoe UI Emoji"/>
        <family val="2"/>
      </rPr>
      <t>↑</t>
    </r>
    <r>
      <rPr>
        <sz val="8"/>
        <rFont val="Arial"/>
        <family val="2"/>
      </rPr>
      <t xml:space="preserve"> dunkler markiert = Achtung! hier ist Vorsicht geboten oder es ist noch etwas zu tun</t>
    </r>
  </si>
  <si>
    <t>Total / Ø</t>
  </si>
  <si>
    <t>BruttoAT MO-FR, Kalender</t>
  </si>
  <si>
    <t>BruttoAT MO-FR, berechnet</t>
  </si>
  <si>
    <t>Kalendertage</t>
  </si>
  <si>
    <t>tangierte Kalenderwochen</t>
  </si>
  <si>
    <t>BG Pensum (Planung)</t>
  </si>
  <si>
    <t>BG Kalender (inkl. KORR)</t>
  </si>
  <si>
    <t>BG Pensum inkl. KORR (Zeile 41)</t>
  </si>
  <si>
    <t>← Massgebliches Pensum!</t>
  </si>
  <si>
    <t>Soll (VZ)</t>
  </si>
  <si>
    <t>BG Pensum effektiv (inkl. KORR)</t>
  </si>
  <si>
    <t>BG Kalender</t>
  </si>
  <si>
    <t>Soll BG (Kalender, effektiv)</t>
  </si>
  <si>
    <t>← Massgebliche Sollstunden!</t>
  </si>
  <si>
    <t>Soll (Saldodarstellung)</t>
  </si>
  <si>
    <t>Soll (kumulativ)</t>
  </si>
  <si>
    <t>Jahresinfo / Monatsinfo</t>
  </si>
  <si>
    <t>Beschäftigungsgrad / Pensum</t>
  </si>
  <si>
    <t>Zuschläge</t>
  </si>
  <si>
    <t>Steuerung und Korrekturen</t>
  </si>
  <si>
    <t>Saldo-Berechnungen</t>
  </si>
  <si>
    <t>monatlich, kumulativ etc</t>
  </si>
  <si>
    <t>Anzahl Montage</t>
  </si>
  <si>
    <t>Anzahl Dienstage</t>
  </si>
  <si>
    <t>Anzahl Mittwoche</t>
  </si>
  <si>
    <t>Anzahl Donnerstage</t>
  </si>
  <si>
    <t>Anzahl Freitage</t>
  </si>
  <si>
    <t>Anzahl Samstage</t>
  </si>
  <si>
    <t>Anzahl Sonntage</t>
  </si>
  <si>
    <t>SA</t>
  </si>
  <si>
    <t>SO</t>
  </si>
  <si>
    <t>Feriensaldo Vorjahr</t>
  </si>
  <si>
    <t>Feriengutschrift aktuelles Jahr</t>
  </si>
  <si>
    <t>Stunden Vorjahr</t>
  </si>
  <si>
    <t>Stundensaldo laufend</t>
  </si>
  <si>
    <t>Saldokontrolle laufendes Jahr</t>
  </si>
  <si>
    <t>Maler Muster GmbH</t>
  </si>
  <si>
    <t>Warnmeldungen</t>
  </si>
  <si>
    <t>Karenzkontrolle</t>
  </si>
  <si>
    <t>Karenzstunden total</t>
  </si>
  <si>
    <t>Ferien Guthabenkorrektur</t>
  </si>
  <si>
    <t>mit Stunden verrechnet</t>
  </si>
  <si>
    <t>mit Lohn verrechnet</t>
  </si>
  <si>
    <t>Monatssaldo +/- (inkl. Ausz.)</t>
  </si>
  <si>
    <t>← Jahrestotal inkl. Korrekturen</t>
  </si>
  <si>
    <t>Karenzstunden korrekt abrechnen!</t>
  </si>
  <si>
    <t>Karenzstunden korrekt abgerechnet</t>
  </si>
  <si>
    <t>PW Doku</t>
  </si>
  <si>
    <t>WS: xyz // WB: abc</t>
  </si>
  <si>
    <t>bis hierher Tabellen bereits geordnet, darunter TODO (keinen Einfluss auf Funktionalität!)</t>
  </si>
  <si>
    <t>ba</t>
  </si>
  <si>
    <t>SUMME</t>
  </si>
  <si>
    <t>betriebliche Ausfälle</t>
  </si>
  <si>
    <t>betrieblich festgelegte Ausfälle</t>
  </si>
  <si>
    <t>Nachtarbeit 20.00 - 06.00 Uhr</t>
  </si>
  <si>
    <t>Tagarbeit 06.00 - 20.00 Uhr</t>
  </si>
  <si>
    <t>20.00 - 06.00h (night)</t>
  </si>
  <si>
    <t>06.00 - 20.00h (day)</t>
  </si>
  <si>
    <t>06.00 - 20.00h (giorno)</t>
  </si>
  <si>
    <t>20.00 - 06.00h (notturno)</t>
  </si>
  <si>
    <t>Feiertage (Anzahl)</t>
  </si>
  <si>
    <t>Keine Karenzstunden vorhanden. Verrechnungsfelder auf Null setzen.</t>
  </si>
  <si>
    <t>Meldung an RPBK!</t>
  </si>
  <si>
    <t>contrôle des heures de travail ASEPP - feuille de base</t>
  </si>
  <si>
    <t>entreprise</t>
  </si>
  <si>
    <t>employé</t>
  </si>
  <si>
    <t>rue, N°</t>
  </si>
  <si>
    <t>CP, lieu</t>
  </si>
  <si>
    <t>téléphone</t>
  </si>
  <si>
    <t>N° AVS</t>
  </si>
  <si>
    <t>date de naissance</t>
  </si>
  <si>
    <t>date d'entrée</t>
  </si>
  <si>
    <t>heures année passée</t>
  </si>
  <si>
    <t>heures année en cours</t>
  </si>
  <si>
    <t>année passée (report)</t>
  </si>
  <si>
    <t>année en cours</t>
  </si>
  <si>
    <t>vacances</t>
  </si>
  <si>
    <t>taux d'occupation (%)</t>
  </si>
  <si>
    <t>remarques</t>
  </si>
  <si>
    <t>visa employé</t>
  </si>
  <si>
    <t>visa supérieur hiérarchique</t>
  </si>
  <si>
    <t>date</t>
  </si>
  <si>
    <t>an</t>
  </si>
  <si>
    <t>mois</t>
  </si>
  <si>
    <t>semaine</t>
  </si>
  <si>
    <t>sc</t>
  </si>
  <si>
    <t>jours</t>
  </si>
  <si>
    <t>jour</t>
  </si>
  <si>
    <t>heures</t>
  </si>
  <si>
    <t>heure</t>
  </si>
  <si>
    <t>h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</si>
  <si>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</si>
  <si>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</si>
  <si>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</si>
  <si>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</si>
  <si>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</si>
  <si>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</si>
  <si>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</si>
  <si>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</si>
  <si>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</si>
  <si>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</si>
  <si>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</si>
  <si>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</si>
  <si>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jan</t>
  </si>
  <si>
    <t>fév</t>
  </si>
  <si>
    <t>mar</t>
  </si>
  <si>
    <t>avr</t>
  </si>
  <si>
    <t>jun</t>
  </si>
  <si>
    <t>jul</t>
  </si>
  <si>
    <t>aoû</t>
  </si>
  <si>
    <t>sep</t>
  </si>
  <si>
    <t>oct</t>
  </si>
  <si>
    <t>nov</t>
  </si>
  <si>
    <t>déc</t>
  </si>
  <si>
    <t>lun</t>
  </si>
  <si>
    <t>mer</t>
  </si>
  <si>
    <t>jeu</t>
  </si>
  <si>
    <t>ven</t>
  </si>
  <si>
    <t>sam</t>
  </si>
  <si>
    <t>dim</t>
  </si>
  <si>
    <t>calendrier des jours fériés</t>
  </si>
  <si>
    <t>veuillez cocher les jours fériés avec "x"</t>
  </si>
  <si>
    <t xml:space="preserve">calcul automatique des vacances </t>
  </si>
  <si>
    <t>Veuillez indiquer le taux d'occupation approprié pour chaque jour de travail | pour les jours non travaillés, indiquez 0</t>
  </si>
  <si>
    <t>t.l. mois identiques</t>
  </si>
  <si>
    <t>t.l. jours identiques</t>
  </si>
  <si>
    <t>aide de la conversion</t>
  </si>
  <si>
    <t>oui</t>
  </si>
  <si>
    <t>non</t>
  </si>
  <si>
    <t>vacances rest.</t>
  </si>
  <si>
    <t>Martin Dupont</t>
  </si>
  <si>
    <t>Peinture Exemple SA</t>
  </si>
  <si>
    <t>e-mail</t>
  </si>
  <si>
    <t>Ø h/jour</t>
  </si>
  <si>
    <t>Ø jours de travail</t>
  </si>
  <si>
    <t>temps
hh:mm</t>
  </si>
  <si>
    <t>temps
dec.</t>
  </si>
  <si>
    <t>% p. 8h/jour</t>
  </si>
  <si>
    <t>avertissements</t>
  </si>
  <si>
    <t>occupation (%)</t>
  </si>
  <si>
    <t>en</t>
  </si>
  <si>
    <t>jours fériés</t>
  </si>
  <si>
    <t>heures théorique</t>
  </si>
  <si>
    <t>heures productives</t>
  </si>
  <si>
    <t>absences</t>
  </si>
  <si>
    <t>maladie</t>
  </si>
  <si>
    <t>accident</t>
  </si>
  <si>
    <t>arrêts définis par l'entreprise</t>
  </si>
  <si>
    <t>militaire/promotion/protection civile</t>
  </si>
  <si>
    <t>école professionelle</t>
  </si>
  <si>
    <t>cours</t>
  </si>
  <si>
    <t>chômage partiel et intempéries</t>
  </si>
  <si>
    <t>vacances non payées</t>
  </si>
  <si>
    <t>heures manquantes</t>
  </si>
  <si>
    <t>contrôle et corrections</t>
  </si>
  <si>
    <t>heures inproductives totales</t>
  </si>
  <si>
    <t>jour de carence</t>
  </si>
  <si>
    <t>corrections manuelles</t>
  </si>
  <si>
    <t>J'ai contrôlé les comptes annuels et vérifié leur exactitude.</t>
  </si>
  <si>
    <t>vacances report</t>
  </si>
  <si>
    <t>report pour l'année</t>
  </si>
  <si>
    <t>pas de carence - veuillez mettre les champs à zéro</t>
  </si>
  <si>
    <t>jours de carence facturés correctement</t>
  </si>
  <si>
    <t>compensé par salaire</t>
  </si>
  <si>
    <t>compensé par heures</t>
  </si>
  <si>
    <t>contrôle de carence</t>
  </si>
  <si>
    <t>heures de carence total</t>
  </si>
  <si>
    <t>veuillez facturer les heures de carence correctement</t>
  </si>
  <si>
    <t>vacances (corrections)</t>
  </si>
  <si>
    <t>y compris les heures de l'année passée</t>
  </si>
  <si>
    <t>aux heures théorique (cumulées)</t>
  </si>
  <si>
    <t>comparaison des heures</t>
  </si>
  <si>
    <t>total (majorations inclus)</t>
  </si>
  <si>
    <t>compensation</t>
  </si>
  <si>
    <t>Faire rapport à la RPBK!</t>
  </si>
  <si>
    <t>statut de la compensation</t>
  </si>
  <si>
    <t>Erreur! Surcompensation</t>
  </si>
  <si>
    <t>période de compensation regulaire</t>
  </si>
  <si>
    <t>compensé</t>
  </si>
  <si>
    <t>veuillez cocher les jours de correction avec "x"</t>
  </si>
  <si>
    <t>exclure jour</t>
  </si>
  <si>
    <t>vacances avoir / déduction</t>
  </si>
  <si>
    <t>J'ai contrôlé les comptes mensuels et vérifié leur exactitude.</t>
  </si>
  <si>
    <t>t.o. réel</t>
  </si>
  <si>
    <t>travail de jour 06.00 - 20.00h</t>
  </si>
  <si>
    <t>travail de nuit 20.00 - 06.00h</t>
  </si>
  <si>
    <t>vacances correction crédits</t>
  </si>
  <si>
    <t>compensation année passée</t>
  </si>
  <si>
    <t>compensation année en cours</t>
  </si>
  <si>
    <t>heures payées année en cours (heures supplémentaires)</t>
  </si>
  <si>
    <t>crédits et majorations</t>
  </si>
  <si>
    <t>seules les cases/champs jaunes sont saisissables</t>
  </si>
  <si>
    <t>taux d'occupation réel</t>
  </si>
  <si>
    <t>vacances (contrôle)</t>
  </si>
  <si>
    <t>vacances année passée</t>
  </si>
  <si>
    <t>vacances selon CCT</t>
  </si>
  <si>
    <t>total des vacances</t>
  </si>
  <si>
    <t>vacances prises</t>
  </si>
  <si>
    <t>bis jetzt nicht benötigt =&gt; für zukünftige Anpassungen vorangelegt</t>
  </si>
  <si>
    <t>aktuell nicht alle Felder benötigt - Anpassungen dokumentieren</t>
  </si>
  <si>
    <t>dont carence</t>
  </si>
  <si>
    <t>ae</t>
  </si>
  <si>
    <t xml:space="preserve">Contrôle des heures pour </t>
  </si>
  <si>
    <t>Report annuel</t>
  </si>
  <si>
    <t>Chômage partiel/perte de trav. cause d'intemp.</t>
  </si>
  <si>
    <t>Arrêts définis par l'entreprise</t>
  </si>
  <si>
    <t>BITM 13a</t>
  </si>
  <si>
    <t>Schwangerschaft</t>
  </si>
  <si>
    <t>s</t>
  </si>
  <si>
    <t>mp</t>
  </si>
  <si>
    <t>Maternité art. 15 CCT</t>
  </si>
  <si>
    <t>Maternità art. 15 CCL</t>
  </si>
  <si>
    <t>pregnancy Art. 15 CEC</t>
  </si>
  <si>
    <t>p</t>
  </si>
  <si>
    <t>g</t>
  </si>
  <si>
    <t>Grossesse art. 15 CCT</t>
  </si>
  <si>
    <t>Gravidanza art. 15 CCL</t>
  </si>
  <si>
    <t>&gt;&gt; per Datum</t>
  </si>
  <si>
    <t>Stichtage Ferienkalkulation</t>
  </si>
  <si>
    <t>&gt;&gt; neu ab V 2025</t>
  </si>
  <si>
    <t>! Gültiges Datum eingeben !</t>
  </si>
  <si>
    <t>!saisir une date valide!</t>
  </si>
  <si>
    <t>Problem: Berücksichtigung des Pensums (wenn Usereingaben falsch = falsche Resultate)</t>
  </si>
  <si>
    <t>Austritt</t>
  </si>
  <si>
    <t>dernier jour</t>
  </si>
  <si>
    <t>Test-Geburtsdatum</t>
  </si>
  <si>
    <t>Anspruch nach Alter</t>
  </si>
  <si>
    <t>unabhnängig vom Jahr</t>
  </si>
  <si>
    <t>entspr. Konfig Admin-Blatt</t>
  </si>
  <si>
    <t>Arbeitsstunden / Monat (dauerhaft)</t>
  </si>
  <si>
    <t>Arbeitsstunden / Tag</t>
  </si>
  <si>
    <t>Arbeitsstunden / Monat (effektiv)</t>
  </si>
  <si>
    <t>kalkulierte durchschnittliche Arbeitsstunden (ungerundet)</t>
  </si>
  <si>
    <t>Werte effektiv (kalkuliert)</t>
  </si>
  <si>
    <t>Werte dauerhaft (Berechnungsbasis)</t>
  </si>
  <si>
    <t>Arbeitstage pro Jahr</t>
  </si>
  <si>
    <t>Arbeitsstunden pro Jahr</t>
  </si>
  <si>
    <t>Eintritt/Start</t>
  </si>
  <si>
    <t>Tage total</t>
  </si>
  <si>
    <t>Erster ganzer Monat</t>
  </si>
  <si>
    <t>Letzer ganzer Monat</t>
  </si>
  <si>
    <t>Tage Eintrittsmonat</t>
  </si>
  <si>
    <t>Tage Austrittsmonat</t>
  </si>
  <si>
    <t>Arbeitstage Eintrittsmnt.</t>
  </si>
  <si>
    <t>Arbeitstage Austrittsmnt.</t>
  </si>
  <si>
    <t>Arbeitstage tot.</t>
  </si>
  <si>
    <t>Anzahl ganze Monate</t>
  </si>
  <si>
    <t>Eintritt</t>
  </si>
  <si>
    <t>Ferienkalkulationen</t>
  </si>
  <si>
    <t>Ferienkategorie</t>
  </si>
  <si>
    <t>Alter am Monatsletzten</t>
  </si>
  <si>
    <t>Ferien bei 100%</t>
  </si>
  <si>
    <t>Ferien auf BG</t>
  </si>
  <si>
    <t>Arbeitstage pro Monat</t>
  </si>
  <si>
    <t>Tage Eintritt/Austritt</t>
  </si>
  <si>
    <t>Berechnungsgrundlagen SMGV (Stand 2024)</t>
  </si>
  <si>
    <t>Austrittsdatum</t>
  </si>
  <si>
    <t>Exitdate</t>
  </si>
  <si>
    <t>Schwangerschaftsabsenzen</t>
  </si>
  <si>
    <t>Mutterschafts-/ Vaterschaftsurlaub</t>
  </si>
  <si>
    <t>Congé de maternité/paternité</t>
  </si>
  <si>
    <t>absences de grossesse</t>
  </si>
  <si>
    <t>Schwangerschaftsabsenzen Art. 15 GAV</t>
  </si>
  <si>
    <t>Mutterschafts-/Vaterschaftsurlaub Art. 15 GAV</t>
  </si>
  <si>
    <t>Militär-, Zivil- und Schutzdienst Art. 16 GAV</t>
  </si>
  <si>
    <t>Militär-, Zivil- und Schutzdienst</t>
  </si>
  <si>
    <t>adresse</t>
  </si>
  <si>
    <t>Kontakt</t>
  </si>
  <si>
    <t>coordonnées</t>
  </si>
  <si>
    <t>nom</t>
  </si>
  <si>
    <t>total hebdomadaire</t>
  </si>
  <si>
    <t>1)  25% majoration temporelle pour depassement les heures maximales</t>
  </si>
  <si>
    <t>2) 100% majoration temporelle pour travail de nuit</t>
  </si>
  <si>
    <t>3) 100% majoration temporelle pour travail du dimanche et jour férié</t>
  </si>
  <si>
    <t>paiement des heures</t>
  </si>
  <si>
    <t>compensation en cours</t>
  </si>
  <si>
    <t>absences non payées</t>
  </si>
  <si>
    <t>vacences non payées</t>
  </si>
  <si>
    <t>vn</t>
  </si>
  <si>
    <t xml:space="preserve">   payé </t>
  </si>
  <si>
    <t xml:space="preserve">   |   reste: </t>
  </si>
  <si>
    <t>Anstellung</t>
  </si>
  <si>
    <t>Berechnung</t>
  </si>
  <si>
    <t>Liste der Eingabeblätter für Monatserfassung</t>
  </si>
  <si>
    <t>Reisezeit</t>
  </si>
  <si>
    <t>Reisezeit (Total)</t>
  </si>
  <si>
    <t>Reiseabzug</t>
  </si>
  <si>
    <t>Reisezeit (gesamt)</t>
  </si>
  <si>
    <t>Tagestotal inkl. bezahlte Reisezeit</t>
  </si>
  <si>
    <t>day total incl. payed travel time</t>
  </si>
  <si>
    <t>total journalier y c. temp de trajet payé</t>
  </si>
  <si>
    <t>travel time (total)</t>
  </si>
  <si>
    <t>temps de trajet (total)</t>
  </si>
  <si>
    <t>travel time deduction</t>
  </si>
  <si>
    <t>déduction de temps de trajet</t>
  </si>
  <si>
    <t>Reisezeitabzug</t>
  </si>
  <si>
    <t>Monatsblätter: AL26</t>
  </si>
  <si>
    <t>Monatsblätter: AL27</t>
  </si>
  <si>
    <t>se des vacences</t>
  </si>
  <si>
    <t>se des heures</t>
  </si>
  <si>
    <t>se pour l'année</t>
  </si>
  <si>
    <t>se mois + / -</t>
  </si>
  <si>
    <t>heures payées se année passée</t>
  </si>
  <si>
    <t>se année passée</t>
  </si>
  <si>
    <t>se (report)</t>
  </si>
  <si>
    <t>se negative année passée</t>
  </si>
  <si>
    <t>Tabellenblätter</t>
  </si>
  <si>
    <t>NR</t>
  </si>
  <si>
    <t>Französisch</t>
  </si>
  <si>
    <t>Englisch</t>
  </si>
  <si>
    <t>Italienisch</t>
  </si>
  <si>
    <t>Basisblatt</t>
  </si>
  <si>
    <t>fiche du personnel</t>
  </si>
  <si>
    <t>FEV</t>
  </si>
  <si>
    <t>MAR</t>
  </si>
  <si>
    <t>AVR</t>
  </si>
  <si>
    <t>AOÛ</t>
  </si>
  <si>
    <t>OCT</t>
  </si>
  <si>
    <t>DEC</t>
  </si>
  <si>
    <t>report annuel</t>
  </si>
  <si>
    <t>Reise-abzug</t>
  </si>
  <si>
    <t>komplett vergütet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</si>
</sst>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44" formatCode="_ &quot;CHF&quot;\ * #,##0.00_ ;_ &quot;CHF&quot;\ * \-#,##0.00_ ;_ &quot;CHF&quot;\ * &quot;-&quot;??_ ;_ @_ "/>
    <numFmt numFmtId="164" formatCode="mmm"/>
    <numFmt numFmtId="165" formatCode="dd"/>
    <numFmt numFmtId="166" formatCode="#,##0.00_ ;[Red]\-#,##0.00\ "/>
    <numFmt numFmtId="167" formatCode="ddd"/>
    <numFmt numFmtId="168" formatCode="#,##0.00_ ;\-#,##0.00\ "/>
    <numFmt numFmtId="169" formatCode="d/m"/>
    <numFmt numFmtId="170" formatCode="0.00_ ;[Red]\-0.00\ "/>
    <numFmt numFmtId="171" formatCode="0.0000"/>
    <numFmt numFmtId="172" formatCode="#,##0.0000_ ;[Red]\-#,##0.0000\ "/>
    <numFmt numFmtId="173" formatCode="0.0000_ ;[Red]\-0.0000\ "/>
    <numFmt numFmtId="174" formatCode="mmmm\ yyyy"/>
    <numFmt numFmtId="175" formatCode="dddd"/>
    <numFmt numFmtId="176" formatCode="yyyy"/>
    <numFmt numFmtId="177" formatCode="#0\ _ &quot;KalW&quot;"/>
    <numFmt numFmtId="178" formatCode="##0\ _ &quot;KalTage&quot;"/>
    <numFmt numFmtId="179" formatCode="#0\ _ &quot;BruttoAT&quot;"/>
    <numFmt numFmtId="180" formatCode="0.00;;\-"/>
    <numFmt numFmtId="181" formatCode="##0.00%;;\-"/>
    <numFmt numFmtId="182" formatCode="#0.00;;\-"/>
    <numFmt numFmtId="183" formatCode="[h]\:mm;\-\ [h]\:mm;&quot;-     &quot;"/>
    <numFmt numFmtId="184" formatCode="###.00_ &quot;VP-Std.&quot;"/>
    <numFmt numFmtId="185" formatCode="###.00_ &quot;BG-Std.&quot;"/>
    <numFmt numFmtId="186" formatCode="#0_ &quot;korrTage&quot;"/>
    <numFmt numFmtId="187" formatCode="#0_ &quot;nettoAT&quot;"/>
    <numFmt numFmtId="188" formatCode="&quot;000&quot;&quot;.&quot;0000&quot;.&quot;0000&quot;.&quot;00"/>
    <numFmt numFmtId="189" formatCode="0;;0"/>
    <numFmt numFmtId="190" formatCode="#0_ &quot;Feiertage&quot;"/>
    <numFmt numFmtId="191" formatCode="#,##0.00_ &quot;Std. ft&quot;"/>
    <numFmt numFmtId="192" formatCode="0.00_ ;[Red]\-0.00\ ;0"/>
    <numFmt numFmtId="193" formatCode="0;\-0;0"/>
    <numFmt numFmtId="194" formatCode="0\ &quot;t&quot;"/>
    <numFmt numFmtId="195" formatCode="0\ &quot;h&quot;"/>
    <numFmt numFmtId="196" formatCode="##0.00;[Red]\-##0.00;\-"/>
    <numFmt numFmtId="197" formatCode="#0.00;[Red]\-#0.00;[Green]\-"/>
    <numFmt numFmtId="198" formatCode="#0.00\ ;[Red]\-#0.00\ ;;"/>
    <numFmt numFmtId="199" formatCode="00"/>
  </numFmts>
  <fonts count="91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name val="Arial Narrow"/>
      <family val="2"/>
    </font>
    <font>
      <sz val="10"/>
      <name val="Arial Narrow"/>
      <family val="2"/>
    </font>
    <font>
      <b/>
      <i/>
      <sz val="12"/>
      <name val="Arial Narrow"/>
      <family val="2"/>
    </font>
    <font>
      <b/>
      <i/>
      <sz val="9"/>
      <name val="Arial Narrow"/>
      <family val="2"/>
    </font>
    <font>
      <sz val="8"/>
      <name val="Arial Narrow"/>
      <family val="2"/>
    </font>
    <font>
      <sz val="10"/>
      <name val="Courier"/>
      <family val="3"/>
    </font>
    <font>
      <b/>
      <sz val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sz val="18"/>
      <name val="Arial"/>
      <family val="2"/>
    </font>
    <font>
      <b/>
      <i/>
      <sz val="8"/>
      <name val="Arial"/>
      <family val="2"/>
    </font>
    <font>
      <b/>
      <sz val="8"/>
      <color indexed="48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9"/>
      <name val="Arial Narrow"/>
      <family val="2"/>
    </font>
    <font>
      <i/>
      <sz val="9"/>
      <name val="Arial Narrow"/>
      <family val="2"/>
    </font>
    <font>
      <b/>
      <sz val="16"/>
      <name val="Arial Narrow"/>
      <family val="2"/>
    </font>
    <font>
      <b/>
      <sz val="12"/>
      <name val="Arial"/>
      <family val="2"/>
    </font>
    <font>
      <b/>
      <i/>
      <sz val="11"/>
      <name val="Arial Narrow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Arial Narrow"/>
      <family val="2"/>
    </font>
    <font>
      <b/>
      <i/>
      <sz val="9"/>
      <color rgb="FFFF0000"/>
      <name val="Arial Narrow"/>
      <family val="2"/>
    </font>
    <font>
      <sz val="9"/>
      <color rgb="FFFF0000"/>
      <name val="Arial Narrow"/>
      <family val="2"/>
    </font>
    <font>
      <b/>
      <sz val="9"/>
      <color theme="0"/>
      <name val="Arial Narrow"/>
      <family val="2"/>
    </font>
    <font>
      <b/>
      <i/>
      <sz val="10"/>
      <color theme="9" tint="-0.24994659260841701"/>
      <name val="Arial"/>
      <family val="2"/>
    </font>
    <font>
      <i/>
      <sz val="12"/>
      <name val="Arial"/>
      <family val="2"/>
    </font>
    <font>
      <b/>
      <i/>
      <sz val="8"/>
      <color rgb="FF0066FF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sz val="8"/>
      <name val="Calibri"/>
      <family val="2"/>
      <scheme val="minor"/>
    </font>
    <font>
      <i/>
      <sz val="8"/>
      <name val="Arial"/>
      <family val="2"/>
    </font>
    <font>
      <sz val="9"/>
      <color theme="9" tint="-0.249977111117893"/>
      <name val="Arial Narrow"/>
      <family val="2"/>
    </font>
    <font>
      <b/>
      <sz val="9"/>
      <color theme="9" tint="-0.249977111117893"/>
      <name val="Arial Narrow"/>
      <family val="2"/>
    </font>
    <font>
      <sz val="10"/>
      <name val="Arial"/>
      <family val="2"/>
    </font>
    <font>
      <b/>
      <sz val="14"/>
      <name val="Arial Narrow"/>
      <family val="2"/>
    </font>
    <font>
      <sz val="14"/>
      <name val="Arial Narrow"/>
      <family val="2"/>
    </font>
    <font>
      <b/>
      <sz val="16"/>
      <name val="Arial"/>
      <family val="2"/>
    </font>
    <font>
      <sz val="12"/>
      <name val="Avenir Next LT Pro Light"/>
      <family val="2"/>
    </font>
    <font>
      <b/>
      <sz val="20"/>
      <name val="Arial Narrow"/>
      <family val="2"/>
    </font>
    <font>
      <b/>
      <sz val="8"/>
      <name val="Calibri"/>
      <family val="2"/>
    </font>
    <font>
      <sz val="10"/>
      <color theme="0" tint="-4.9989318521683403E-2"/>
      <name val="Arial"/>
      <family val="2"/>
    </font>
    <font>
      <i/>
      <sz val="10"/>
      <color theme="0" tint="-4.9989318521683403E-2"/>
      <name val="Arial"/>
      <family val="2"/>
    </font>
    <font>
      <b/>
      <sz val="10"/>
      <color indexed="10"/>
      <name val="Arial"/>
      <family val="2"/>
    </font>
    <font>
      <sz val="9"/>
      <color indexed="81"/>
      <name val="Segoe UI"/>
      <family val="2"/>
    </font>
    <font>
      <sz val="10"/>
      <color theme="0"/>
      <name val="Arial"/>
      <family val="2"/>
    </font>
    <font>
      <b/>
      <u/>
      <sz val="11"/>
      <name val="Arial"/>
      <family val="2"/>
    </font>
    <font>
      <sz val="10"/>
      <color theme="0"/>
      <name val="Calibri"/>
      <family val="2"/>
      <scheme val="minor"/>
    </font>
    <font>
      <sz val="10"/>
      <color theme="1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10"/>
      <color rgb="FF0070C0"/>
      <name val="Arial"/>
      <family val="2"/>
    </font>
    <font>
      <b/>
      <sz val="11"/>
      <color theme="0"/>
      <name val="Arial"/>
      <family val="2"/>
    </font>
    <font>
      <b/>
      <sz val="22"/>
      <name val="Arial"/>
      <family val="2"/>
    </font>
    <font>
      <b/>
      <sz val="9"/>
      <color indexed="81"/>
      <name val="Segoe UI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i/>
      <sz val="8"/>
      <name val="Arial Narrow"/>
      <family val="2"/>
    </font>
    <font>
      <b/>
      <sz val="10"/>
      <color theme="9"/>
      <name val="Arial"/>
      <family val="2"/>
    </font>
    <font>
      <sz val="8"/>
      <name val="Arial"/>
      <family val="2"/>
    </font>
    <font>
      <sz val="18"/>
      <name val="Arial Nova Light"/>
      <family val="2"/>
    </font>
    <font>
      <sz val="9"/>
      <name val="Arial"/>
      <family val="2"/>
    </font>
    <font>
      <b/>
      <sz val="8"/>
      <name val="Arial Narrow"/>
      <family val="2"/>
    </font>
    <font>
      <b/>
      <sz val="11"/>
      <name val="Arial Narrow"/>
      <family val="2"/>
    </font>
    <font>
      <sz val="14"/>
      <name val="Arial"/>
      <family val="2"/>
    </font>
    <font>
      <sz val="10"/>
      <color theme="0" tint="-0.249977111117893"/>
      <name val="Arial"/>
      <family val="2"/>
    </font>
    <font>
      <sz val="8"/>
      <color theme="0" tint="-0.34998626667073579"/>
      <name val="Arial"/>
      <family val="2"/>
    </font>
    <font>
      <i/>
      <sz val="8"/>
      <color rgb="FFC00000"/>
      <name val="Arial Narrow"/>
      <family val="2"/>
    </font>
    <font>
      <sz val="8"/>
      <color rgb="FFC00000"/>
      <name val="Arial Narrow"/>
      <family val="2"/>
    </font>
    <font>
      <b/>
      <i/>
      <sz val="8"/>
      <color rgb="FFC00000"/>
      <name val="Arial Narrow"/>
      <family val="2"/>
    </font>
    <font>
      <sz val="9"/>
      <name val="Segoe UI Emoji"/>
      <family val="2"/>
    </font>
    <font>
      <sz val="10"/>
      <name val="Segoe UI Emoji"/>
      <family val="2"/>
    </font>
    <font>
      <sz val="6"/>
      <name val="Arial"/>
      <family val="2"/>
    </font>
    <font>
      <sz val="9"/>
      <name val="Calibri"/>
      <family val="2"/>
    </font>
    <font>
      <u/>
      <sz val="9"/>
      <color indexed="81"/>
      <name val="Segoe UI"/>
      <family val="2"/>
    </font>
    <font>
      <b/>
      <sz val="10"/>
      <color theme="0" tint="-0.499984740745262"/>
      <name val="Arial"/>
      <family val="2"/>
    </font>
    <font>
      <b/>
      <sz val="11"/>
      <name val="Arial"/>
      <family val="2"/>
    </font>
    <font>
      <sz val="11"/>
      <name val="Arial Narrow"/>
      <family val="2"/>
    </font>
    <font>
      <u/>
      <sz val="10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DDF2FF"/>
        <bgColor indexed="64"/>
      </patternFill>
    </fill>
    <fill>
      <patternFill patternType="solid">
        <fgColor rgb="FFDFF1CB"/>
        <bgColor indexed="64"/>
      </patternFill>
    </fill>
    <fill>
      <patternFill patternType="solid">
        <fgColor rgb="FFFFE79B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gradientFill degree="90">
        <stop position="0">
          <color theme="6" tint="0.80001220740379042"/>
        </stop>
        <stop position="1">
          <color theme="9" tint="0.80001220740379042"/>
        </stop>
      </gradientFill>
    </fill>
    <fill>
      <gradientFill degree="90">
        <stop position="0">
          <color theme="6" tint="0.80001220740379042"/>
        </stop>
        <stop position="1">
          <color theme="9" tint="0.59999389629810485"/>
        </stop>
      </gradientFill>
    </fill>
    <fill>
      <gradientFill degree="90">
        <stop position="0">
          <color theme="8" tint="0.80001220740379042"/>
        </stop>
        <stop position="1">
          <color theme="9" tint="0.80001220740379042"/>
        </stop>
      </gradient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auto="1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CFBFF"/>
        <bgColor indexed="64"/>
      </patternFill>
    </fill>
  </fills>
  <borders count="9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theme="3" tint="-0.499984740745262"/>
      </left>
      <right style="thick">
        <color theme="3" tint="0.79998168889431442"/>
      </right>
      <top style="thick">
        <color theme="3" tint="0.79998168889431442"/>
      </top>
      <bottom style="thick">
        <color theme="3" tint="-0.49998474074526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/>
      <right/>
      <top style="thin">
        <color theme="0"/>
      </top>
      <bottom/>
      <diagonal/>
    </border>
    <border>
      <left style="medium">
        <color theme="9" tint="0.39994506668294322"/>
      </left>
      <right/>
      <top style="medium">
        <color theme="9" tint="0.39994506668294322"/>
      </top>
      <bottom style="medium">
        <color theme="9" tint="0.39994506668294322"/>
      </bottom>
      <diagonal/>
    </border>
    <border>
      <left/>
      <right/>
      <top style="medium">
        <color theme="9" tint="0.39994506668294322"/>
      </top>
      <bottom style="medium">
        <color theme="9" tint="0.3999450666829432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8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7" fillId="0" borderId="0"/>
    <xf numFmtId="0" fontId="18" fillId="0" borderId="0"/>
    <xf numFmtId="9" fontId="43" fillId="0" borderId="0" applyFont="0" applyFill="0" applyBorder="0" applyAlignment="0" applyProtection="0"/>
    <xf numFmtId="0" fontId="1" fillId="0" borderId="0"/>
    <xf numFmtId="44" fontId="88" fillId="0" borderId="0" applyFont="0" applyFill="0" applyBorder="0" applyAlignment="0" applyProtection="0"/>
  </cellStyleXfs>
  <cellXfs count="1063">
    <xf numFmtId="0" fontId="0" fillId="0" borderId="0" xfId="0"/>
    <xf numFmtId="0" fontId="2" fillId="0" borderId="0" xfId="0" applyFont="1" applyAlignment="1" applyProtection="1">
      <alignment textRotation="180"/>
      <protection hidden="1"/>
    </xf>
    <xf numFmtId="4" fontId="3" fillId="0" borderId="0" xfId="0" applyNumberFormat="1" applyFont="1" applyProtection="1">
      <protection hidden="1"/>
    </xf>
    <xf numFmtId="0" fontId="5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4" fontId="3" fillId="0" borderId="0" xfId="0" applyNumberFormat="1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27" fillId="3" borderId="0" xfId="4" applyFont="1" applyFill="1" applyAlignment="1" applyProtection="1">
      <alignment vertical="center"/>
      <protection hidden="1"/>
    </xf>
    <xf numFmtId="0" fontId="0" fillId="0" borderId="0" xfId="0" applyAlignment="1">
      <alignment vertical="center"/>
    </xf>
    <xf numFmtId="0" fontId="10" fillId="0" borderId="0" xfId="0" applyFont="1"/>
    <xf numFmtId="171" fontId="13" fillId="3" borderId="0" xfId="0" applyNumberFormat="1" applyFont="1" applyFill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3" borderId="0" xfId="0" applyFont="1" applyFill="1" applyProtection="1">
      <protection hidden="1"/>
    </xf>
    <xf numFmtId="0" fontId="22" fillId="3" borderId="21" xfId="0" applyFont="1" applyFill="1" applyBorder="1" applyAlignment="1" applyProtection="1">
      <alignment horizontal="center" vertical="center"/>
      <protection hidden="1"/>
    </xf>
    <xf numFmtId="0" fontId="22" fillId="3" borderId="22" xfId="0" applyFont="1" applyFill="1" applyBorder="1" applyAlignment="1" applyProtection="1">
      <alignment horizontal="center" vertical="center"/>
      <protection hidden="1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 applyProtection="1">
      <alignment vertical="center"/>
      <protection hidden="1"/>
    </xf>
    <xf numFmtId="4" fontId="2" fillId="0" borderId="26" xfId="0" applyNumberFormat="1" applyFont="1" applyBorder="1" applyAlignment="1" applyProtection="1">
      <alignment vertical="center"/>
      <protection hidden="1"/>
    </xf>
    <xf numFmtId="4" fontId="2" fillId="4" borderId="18" xfId="0" applyNumberFormat="1" applyFont="1" applyFill="1" applyBorder="1" applyAlignment="1" applyProtection="1">
      <alignment vertical="center"/>
      <protection hidden="1"/>
    </xf>
    <xf numFmtId="4" fontId="2" fillId="0" borderId="18" xfId="0" applyNumberFormat="1" applyFont="1" applyBorder="1" applyAlignment="1" applyProtection="1">
      <alignment vertical="center"/>
      <protection hidden="1"/>
    </xf>
    <xf numFmtId="4" fontId="2" fillId="0" borderId="1" xfId="0" applyNumberFormat="1" applyFont="1" applyBorder="1" applyAlignment="1" applyProtection="1">
      <alignment vertical="center" wrapText="1"/>
      <protection hidden="1"/>
    </xf>
    <xf numFmtId="170" fontId="2" fillId="0" borderId="1" xfId="0" applyNumberFormat="1" applyFont="1" applyBorder="1" applyAlignment="1" applyProtection="1">
      <alignment horizontal="center" vertical="center"/>
      <protection hidden="1"/>
    </xf>
    <xf numFmtId="4" fontId="2" fillId="0" borderId="0" xfId="0" applyNumberFormat="1" applyFont="1" applyAlignment="1" applyProtection="1">
      <alignment vertical="center"/>
      <protection hidden="1"/>
    </xf>
    <xf numFmtId="4" fontId="2" fillId="0" borderId="1" xfId="3" applyNumberFormat="1" applyFont="1" applyBorder="1" applyAlignment="1" applyProtection="1">
      <alignment horizontal="center" vertical="center"/>
      <protection hidden="1"/>
    </xf>
    <xf numFmtId="165" fontId="21" fillId="0" borderId="1" xfId="3" applyNumberFormat="1" applyFont="1" applyBorder="1" applyAlignment="1" applyProtection="1">
      <alignment horizontal="center"/>
      <protection hidden="1"/>
    </xf>
    <xf numFmtId="165" fontId="30" fillId="0" borderId="1" xfId="3" applyNumberFormat="1" applyFont="1" applyBorder="1" applyAlignment="1" applyProtection="1">
      <alignment horizontal="center"/>
      <protection hidden="1"/>
    </xf>
    <xf numFmtId="0" fontId="5" fillId="0" borderId="27" xfId="0" applyFont="1" applyBorder="1" applyAlignment="1" applyProtection="1">
      <alignment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5" fillId="3" borderId="7" xfId="0" applyFont="1" applyFill="1" applyBorder="1" applyAlignment="1" applyProtection="1">
      <alignment vertical="center"/>
      <protection hidden="1"/>
    </xf>
    <xf numFmtId="0" fontId="17" fillId="3" borderId="8" xfId="0" applyFont="1" applyFill="1" applyBorder="1" applyAlignment="1" applyProtection="1">
      <alignment vertical="center" wrapText="1"/>
      <protection hidden="1"/>
    </xf>
    <xf numFmtId="0" fontId="2" fillId="3" borderId="8" xfId="0" applyFont="1" applyFill="1" applyBorder="1" applyAlignment="1" applyProtection="1">
      <alignment vertical="center"/>
      <protection hidden="1"/>
    </xf>
    <xf numFmtId="0" fontId="13" fillId="3" borderId="8" xfId="0" applyFont="1" applyFill="1" applyBorder="1" applyAlignment="1" applyProtection="1">
      <alignment horizontal="center" vertical="center"/>
      <protection hidden="1"/>
    </xf>
    <xf numFmtId="0" fontId="13" fillId="3" borderId="8" xfId="0" applyFont="1" applyFill="1" applyBorder="1" applyAlignment="1" applyProtection="1">
      <alignment vertical="center"/>
      <protection hidden="1"/>
    </xf>
    <xf numFmtId="0" fontId="2" fillId="3" borderId="2" xfId="0" applyFont="1" applyFill="1" applyBorder="1" applyProtection="1">
      <protection hidden="1"/>
    </xf>
    <xf numFmtId="0" fontId="19" fillId="0" borderId="0" xfId="0" applyFont="1"/>
    <xf numFmtId="0" fontId="0" fillId="0" borderId="0" xfId="0" applyAlignment="1">
      <alignment horizontal="center" vertical="center"/>
    </xf>
    <xf numFmtId="4" fontId="2" fillId="0" borderId="41" xfId="0" applyNumberFormat="1" applyFont="1" applyBorder="1" applyAlignment="1" applyProtection="1">
      <alignment vertical="center"/>
      <protection hidden="1"/>
    </xf>
    <xf numFmtId="4" fontId="2" fillId="0" borderId="42" xfId="0" applyNumberFormat="1" applyFont="1" applyBorder="1" applyAlignment="1" applyProtection="1">
      <alignment vertical="center"/>
      <protection hidden="1"/>
    </xf>
    <xf numFmtId="4" fontId="2" fillId="0" borderId="39" xfId="0" applyNumberFormat="1" applyFont="1" applyBorder="1" applyAlignment="1" applyProtection="1">
      <alignment horizontal="left" vertical="center"/>
      <protection hidden="1"/>
    </xf>
    <xf numFmtId="4" fontId="2" fillId="0" borderId="42" xfId="0" applyNumberFormat="1" applyFont="1" applyBorder="1" applyAlignment="1" applyProtection="1">
      <alignment horizontal="left" vertical="center"/>
      <protection hidden="1"/>
    </xf>
    <xf numFmtId="4" fontId="2" fillId="0" borderId="38" xfId="0" applyNumberFormat="1" applyFont="1" applyBorder="1" applyAlignment="1" applyProtection="1">
      <alignment horizontal="left" vertical="center"/>
      <protection hidden="1"/>
    </xf>
    <xf numFmtId="4" fontId="2" fillId="0" borderId="37" xfId="0" applyNumberFormat="1" applyFont="1" applyBorder="1" applyAlignment="1" applyProtection="1">
      <alignment horizontal="left" vertical="center"/>
      <protection hidden="1"/>
    </xf>
    <xf numFmtId="4" fontId="22" fillId="0" borderId="36" xfId="0" applyNumberFormat="1" applyFont="1" applyBorder="1" applyAlignment="1" applyProtection="1">
      <alignment vertical="center" wrapText="1"/>
      <protection hidden="1"/>
    </xf>
    <xf numFmtId="0" fontId="10" fillId="0" borderId="0" xfId="0" applyFont="1" applyAlignment="1">
      <alignment vertical="center"/>
    </xf>
    <xf numFmtId="4" fontId="2" fillId="8" borderId="16" xfId="0" applyNumberFormat="1" applyFont="1" applyFill="1" applyBorder="1" applyAlignment="1" applyProtection="1">
      <alignment horizontal="center" vertical="center"/>
      <protection locked="0"/>
    </xf>
    <xf numFmtId="4" fontId="2" fillId="8" borderId="48" xfId="0" applyNumberFormat="1" applyFont="1" applyFill="1" applyBorder="1" applyAlignment="1" applyProtection="1">
      <alignment horizontal="center" vertical="center"/>
      <protection locked="0"/>
    </xf>
    <xf numFmtId="4" fontId="2" fillId="8" borderId="50" xfId="0" applyNumberFormat="1" applyFont="1" applyFill="1" applyBorder="1" applyAlignment="1" applyProtection="1">
      <alignment horizontal="center" vertical="center"/>
      <protection locked="0"/>
    </xf>
    <xf numFmtId="4" fontId="2" fillId="8" borderId="13" xfId="0" applyNumberFormat="1" applyFont="1" applyFill="1" applyBorder="1" applyAlignment="1" applyProtection="1">
      <alignment horizontal="center" vertical="center"/>
      <protection locked="0"/>
    </xf>
    <xf numFmtId="4" fontId="2" fillId="8" borderId="52" xfId="0" applyNumberFormat="1" applyFont="1" applyFill="1" applyBorder="1" applyAlignment="1" applyProtection="1">
      <alignment horizontal="center" vertical="center"/>
      <protection locked="0"/>
    </xf>
    <xf numFmtId="4" fontId="2" fillId="8" borderId="53" xfId="0" applyNumberFormat="1" applyFont="1" applyFill="1" applyBorder="1" applyAlignment="1" applyProtection="1">
      <alignment horizontal="center" vertical="center"/>
      <protection locked="0"/>
    </xf>
    <xf numFmtId="4" fontId="2" fillId="8" borderId="55" xfId="0" applyNumberFormat="1" applyFont="1" applyFill="1" applyBorder="1" applyAlignment="1" applyProtection="1">
      <alignment horizontal="center" vertical="center"/>
      <protection locked="0"/>
    </xf>
    <xf numFmtId="4" fontId="2" fillId="8" borderId="56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vertical="center" wrapText="1"/>
    </xf>
    <xf numFmtId="0" fontId="19" fillId="0" borderId="0" xfId="0" applyFont="1" applyAlignment="1">
      <alignment vertical="center" wrapText="1"/>
    </xf>
    <xf numFmtId="0" fontId="26" fillId="0" borderId="1" xfId="0" applyFont="1" applyBorder="1" applyAlignment="1" applyProtection="1">
      <alignment horizontal="left"/>
      <protection hidden="1"/>
    </xf>
    <xf numFmtId="0" fontId="27" fillId="3" borderId="0" xfId="4" applyFont="1" applyFill="1" applyAlignment="1" applyProtection="1">
      <alignment horizontal="center" vertical="center"/>
      <protection hidden="1"/>
    </xf>
    <xf numFmtId="4" fontId="29" fillId="2" borderId="1" xfId="0" applyNumberFormat="1" applyFont="1" applyFill="1" applyBorder="1" applyAlignment="1" applyProtection="1">
      <alignment horizontal="center" vertical="center"/>
      <protection locked="0"/>
    </xf>
    <xf numFmtId="0" fontId="36" fillId="3" borderId="25" xfId="0" applyFont="1" applyFill="1" applyBorder="1" applyAlignment="1" applyProtection="1">
      <alignment horizontal="right" vertical="center"/>
      <protection hidden="1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45" fillId="3" borderId="17" xfId="0" applyFont="1" applyFill="1" applyBorder="1" applyAlignment="1" applyProtection="1">
      <alignment horizontal="left"/>
      <protection hidden="1"/>
    </xf>
    <xf numFmtId="0" fontId="45" fillId="3" borderId="8" xfId="0" applyFont="1" applyFill="1" applyBorder="1" applyAlignment="1" applyProtection="1">
      <alignment horizontal="left"/>
      <protection hidden="1"/>
    </xf>
    <xf numFmtId="0" fontId="45" fillId="3" borderId="25" xfId="0" applyFont="1" applyFill="1" applyBorder="1" applyAlignment="1" applyProtection="1">
      <alignment horizontal="left"/>
      <protection hidden="1"/>
    </xf>
    <xf numFmtId="4" fontId="9" fillId="0" borderId="68" xfId="0" applyNumberFormat="1" applyFont="1" applyBorder="1" applyProtection="1">
      <protection hidden="1"/>
    </xf>
    <xf numFmtId="4" fontId="9" fillId="0" borderId="12" xfId="0" applyNumberFormat="1" applyFont="1" applyBorder="1" applyProtection="1">
      <protection hidden="1"/>
    </xf>
    <xf numFmtId="4" fontId="29" fillId="2" borderId="7" xfId="0" applyNumberFormat="1" applyFont="1" applyFill="1" applyBorder="1" applyAlignment="1" applyProtection="1">
      <alignment horizontal="center" vertical="center"/>
      <protection locked="0"/>
    </xf>
    <xf numFmtId="0" fontId="28" fillId="0" borderId="43" xfId="0" applyFont="1" applyBorder="1" applyAlignment="1" applyProtection="1">
      <alignment horizontal="center" vertical="center"/>
      <protection hidden="1"/>
    </xf>
    <xf numFmtId="0" fontId="28" fillId="0" borderId="44" xfId="0" applyFont="1" applyBorder="1" applyAlignment="1" applyProtection="1">
      <alignment horizontal="center" vertical="center"/>
      <protection hidden="1"/>
    </xf>
    <xf numFmtId="0" fontId="28" fillId="0" borderId="51" xfId="0" applyFont="1" applyBorder="1" applyAlignment="1" applyProtection="1">
      <alignment horizontal="center" vertical="center"/>
      <protection hidden="1"/>
    </xf>
    <xf numFmtId="0" fontId="28" fillId="0" borderId="64" xfId="0" applyFont="1" applyBorder="1" applyAlignment="1" applyProtection="1">
      <alignment horizontal="center" vertical="center"/>
      <protection hidden="1"/>
    </xf>
    <xf numFmtId="0" fontId="39" fillId="0" borderId="1" xfId="0" applyFont="1" applyBorder="1" applyAlignment="1" applyProtection="1">
      <alignment horizontal="center" vertical="center"/>
      <protection hidden="1"/>
    </xf>
    <xf numFmtId="0" fontId="39" fillId="0" borderId="43" xfId="0" applyFont="1" applyBorder="1" applyAlignment="1" applyProtection="1">
      <alignment horizontal="center" vertical="center"/>
      <protection hidden="1"/>
    </xf>
    <xf numFmtId="0" fontId="19" fillId="0" borderId="0" xfId="0" applyFont="1" applyAlignment="1">
      <alignment vertical="center"/>
    </xf>
    <xf numFmtId="0" fontId="46" fillId="0" borderId="0" xfId="0" applyFont="1" applyAlignment="1">
      <alignment horizontal="left" vertical="center"/>
    </xf>
    <xf numFmtId="0" fontId="39" fillId="0" borderId="27" xfId="0" applyFont="1" applyBorder="1" applyAlignment="1" applyProtection="1">
      <alignment horizontal="center" vertical="center"/>
      <protection hidden="1"/>
    </xf>
    <xf numFmtId="0" fontId="49" fillId="0" borderId="40" xfId="0" applyFont="1" applyBorder="1" applyAlignment="1" applyProtection="1">
      <alignment horizontal="center" vertical="center"/>
      <protection hidden="1"/>
    </xf>
    <xf numFmtId="4" fontId="2" fillId="0" borderId="40" xfId="0" applyNumberFormat="1" applyFont="1" applyBorder="1" applyAlignment="1" applyProtection="1">
      <alignment vertical="center"/>
      <protection hidden="1"/>
    </xf>
    <xf numFmtId="4" fontId="2" fillId="2" borderId="61" xfId="0" applyNumberFormat="1" applyFont="1" applyFill="1" applyBorder="1" applyAlignment="1" applyProtection="1">
      <alignment horizontal="center" vertical="center"/>
      <protection locked="0"/>
    </xf>
    <xf numFmtId="4" fontId="2" fillId="2" borderId="62" xfId="0" applyNumberFormat="1" applyFont="1" applyFill="1" applyBorder="1" applyAlignment="1" applyProtection="1">
      <alignment horizontal="center" vertical="center"/>
      <protection locked="0"/>
    </xf>
    <xf numFmtId="4" fontId="2" fillId="2" borderId="45" xfId="0" applyNumberFormat="1" applyFont="1" applyFill="1" applyBorder="1" applyAlignment="1" applyProtection="1">
      <alignment horizontal="center" vertical="center"/>
      <protection locked="0"/>
    </xf>
    <xf numFmtId="4" fontId="2" fillId="2" borderId="46" xfId="0" applyNumberFormat="1" applyFont="1" applyFill="1" applyBorder="1" applyAlignment="1" applyProtection="1">
      <alignment horizontal="center" vertical="center"/>
      <protection locked="0"/>
    </xf>
    <xf numFmtId="4" fontId="2" fillId="2" borderId="50" xfId="0" applyNumberFormat="1" applyFont="1" applyFill="1" applyBorder="1" applyAlignment="1" applyProtection="1">
      <alignment horizontal="center" vertical="center"/>
      <protection locked="0"/>
    </xf>
    <xf numFmtId="4" fontId="2" fillId="2" borderId="13" xfId="0" applyNumberFormat="1" applyFont="1" applyFill="1" applyBorder="1" applyAlignment="1" applyProtection="1">
      <alignment horizontal="center" vertical="center"/>
      <protection locked="0"/>
    </xf>
    <xf numFmtId="4" fontId="2" fillId="4" borderId="28" xfId="0" applyNumberFormat="1" applyFont="1" applyFill="1" applyBorder="1" applyAlignment="1" applyProtection="1">
      <alignment vertical="center"/>
      <protection hidden="1"/>
    </xf>
    <xf numFmtId="4" fontId="9" fillId="0" borderId="14" xfId="0" applyNumberFormat="1" applyFont="1" applyBorder="1" applyProtection="1">
      <protection hidden="1"/>
    </xf>
    <xf numFmtId="4" fontId="2" fillId="2" borderId="27" xfId="0" applyNumberFormat="1" applyFont="1" applyFill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alignment vertical="top"/>
      <protection hidden="1"/>
    </xf>
    <xf numFmtId="167" fontId="6" fillId="0" borderId="25" xfId="3" applyNumberFormat="1" applyFont="1" applyBorder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horizontal="center" vertical="center"/>
      <protection locked="0"/>
    </xf>
    <xf numFmtId="0" fontId="28" fillId="0" borderId="10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19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9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37" fillId="0" borderId="0" xfId="0" applyFont="1" applyAlignment="1" applyProtection="1">
      <alignment vertical="center"/>
      <protection hidden="1"/>
    </xf>
    <xf numFmtId="0" fontId="10" fillId="0" borderId="0" xfId="0" applyFont="1" applyProtection="1">
      <protection hidden="1"/>
    </xf>
    <xf numFmtId="0" fontId="33" fillId="3" borderId="2" xfId="1" applyFont="1" applyFill="1" applyBorder="1" applyAlignment="1" applyProtection="1">
      <protection hidden="1"/>
    </xf>
    <xf numFmtId="4" fontId="29" fillId="0" borderId="7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Protection="1">
      <protection hidden="1"/>
    </xf>
    <xf numFmtId="0" fontId="13" fillId="0" borderId="0" xfId="0" applyFont="1" applyAlignment="1" applyProtection="1">
      <alignment horizontal="center"/>
      <protection hidden="1"/>
    </xf>
    <xf numFmtId="0" fontId="12" fillId="0" borderId="0" xfId="0" applyFont="1" applyAlignment="1" applyProtection="1">
      <alignment horizontal="left" vertical="center"/>
      <protection hidden="1"/>
    </xf>
    <xf numFmtId="0" fontId="10" fillId="0" borderId="71" xfId="0" applyFont="1" applyBorder="1" applyAlignment="1" applyProtection="1">
      <alignment vertical="center"/>
      <protection hidden="1"/>
    </xf>
    <xf numFmtId="0" fontId="0" fillId="0" borderId="72" xfId="0" applyBorder="1" applyAlignment="1" applyProtection="1">
      <alignment vertical="center"/>
      <protection hidden="1"/>
    </xf>
    <xf numFmtId="0" fontId="50" fillId="0" borderId="74" xfId="0" applyFont="1" applyBorder="1" applyProtection="1">
      <protection hidden="1"/>
    </xf>
    <xf numFmtId="0" fontId="0" fillId="0" borderId="75" xfId="0" applyBorder="1" applyProtection="1">
      <protection hidden="1"/>
    </xf>
    <xf numFmtId="0" fontId="0" fillId="0" borderId="2" xfId="0" applyBorder="1" applyProtection="1">
      <protection hidden="1"/>
    </xf>
    <xf numFmtId="177" fontId="2" fillId="0" borderId="1" xfId="0" applyNumberFormat="1" applyFont="1" applyBorder="1" applyAlignment="1" applyProtection="1">
      <alignment vertical="center"/>
      <protection hidden="1"/>
    </xf>
    <xf numFmtId="178" fontId="2" fillId="0" borderId="1" xfId="5" applyNumberFormat="1" applyFont="1" applyBorder="1" applyAlignment="1" applyProtection="1">
      <alignment vertical="center"/>
      <protection hidden="1"/>
    </xf>
    <xf numFmtId="0" fontId="10" fillId="0" borderId="0" xfId="0" quotePrefix="1" applyFont="1" applyAlignment="1" applyProtection="1">
      <alignment horizontal="center" vertical="center"/>
      <protection hidden="1"/>
    </xf>
    <xf numFmtId="179" fontId="2" fillId="0" borderId="1" xfId="0" applyNumberFormat="1" applyFont="1" applyBorder="1" applyAlignment="1" applyProtection="1">
      <alignment vertical="center"/>
      <protection hidden="1"/>
    </xf>
    <xf numFmtId="0" fontId="0" fillId="0" borderId="2" xfId="0" applyBorder="1"/>
    <xf numFmtId="0" fontId="25" fillId="0" borderId="0" xfId="0" applyFont="1" applyAlignment="1" applyProtection="1">
      <alignment vertical="top"/>
      <protection hidden="1"/>
    </xf>
    <xf numFmtId="3" fontId="39" fillId="0" borderId="1" xfId="0" applyNumberFormat="1" applyFont="1" applyBorder="1" applyAlignment="1" applyProtection="1">
      <alignment horizontal="center" vertical="center"/>
      <protection hidden="1"/>
    </xf>
    <xf numFmtId="0" fontId="39" fillId="0" borderId="6" xfId="0" applyFont="1" applyBorder="1" applyAlignment="1" applyProtection="1">
      <alignment horizontal="center" vertical="center"/>
      <protection hidden="1"/>
    </xf>
    <xf numFmtId="2" fontId="2" fillId="0" borderId="1" xfId="0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left" vertical="center" wrapText="1"/>
    </xf>
    <xf numFmtId="0" fontId="19" fillId="7" borderId="0" xfId="0" applyFont="1" applyFill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top"/>
    </xf>
    <xf numFmtId="0" fontId="19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/>
    </xf>
    <xf numFmtId="0" fontId="19" fillId="11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9" fillId="11" borderId="0" xfId="0" applyFont="1" applyFill="1" applyAlignment="1">
      <alignment horizontal="left" vertical="top"/>
    </xf>
    <xf numFmtId="0" fontId="18" fillId="0" borderId="0" xfId="0" applyFont="1" applyAlignment="1">
      <alignment horizontal="left" vertical="center" wrapText="1"/>
    </xf>
    <xf numFmtId="0" fontId="18" fillId="0" borderId="0" xfId="0" applyFont="1"/>
    <xf numFmtId="0" fontId="54" fillId="12" borderId="79" xfId="1" applyFont="1" applyFill="1" applyBorder="1" applyAlignment="1" applyProtection="1">
      <alignment horizontal="left" vertical="center" wrapText="1"/>
    </xf>
    <xf numFmtId="0" fontId="37" fillId="0" borderId="0" xfId="0" applyFont="1" applyAlignment="1">
      <alignment wrapText="1"/>
    </xf>
    <xf numFmtId="0" fontId="37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14" fillId="11" borderId="0" xfId="0" applyFont="1" applyFill="1" applyAlignment="1">
      <alignment vertical="top" wrapText="1"/>
    </xf>
    <xf numFmtId="0" fontId="37" fillId="0" borderId="0" xfId="0" applyFont="1" applyAlignment="1">
      <alignment vertical="top" wrapText="1"/>
    </xf>
    <xf numFmtId="0" fontId="40" fillId="0" borderId="0" xfId="0" applyFont="1" applyProtection="1">
      <protection hidden="1"/>
    </xf>
    <xf numFmtId="4" fontId="22" fillId="3" borderId="20" xfId="0" applyNumberFormat="1" applyFont="1" applyFill="1" applyBorder="1" applyAlignment="1" applyProtection="1">
      <alignment horizontal="center" vertical="center"/>
      <protection hidden="1"/>
    </xf>
    <xf numFmtId="4" fontId="22" fillId="3" borderId="35" xfId="0" applyNumberFormat="1" applyFont="1" applyFill="1" applyBorder="1" applyAlignment="1" applyProtection="1">
      <alignment horizontal="center" vertical="center"/>
      <protection hidden="1"/>
    </xf>
    <xf numFmtId="4" fontId="22" fillId="3" borderId="33" xfId="0" applyNumberFormat="1" applyFont="1" applyFill="1" applyBorder="1" applyAlignment="1" applyProtection="1">
      <alignment horizontal="center" vertical="center"/>
      <protection hidden="1"/>
    </xf>
    <xf numFmtId="4" fontId="6" fillId="3" borderId="14" xfId="0" applyNumberFormat="1" applyFont="1" applyFill="1" applyBorder="1" applyAlignment="1" applyProtection="1">
      <alignment horizontal="left"/>
      <protection hidden="1"/>
    </xf>
    <xf numFmtId="4" fontId="2" fillId="3" borderId="14" xfId="0" applyNumberFormat="1" applyFont="1" applyFill="1" applyBorder="1" applyAlignment="1" applyProtection="1">
      <alignment horizontal="center" vertical="center"/>
      <protection hidden="1"/>
    </xf>
    <xf numFmtId="4" fontId="2" fillId="3" borderId="14" xfId="0" applyNumberFormat="1" applyFont="1" applyFill="1" applyBorder="1" applyAlignment="1" applyProtection="1">
      <alignment horizontal="left" vertical="center"/>
      <protection hidden="1"/>
    </xf>
    <xf numFmtId="0" fontId="2" fillId="3" borderId="0" xfId="0" applyFont="1" applyFill="1" applyProtection="1">
      <protection hidden="1"/>
    </xf>
    <xf numFmtId="0" fontId="22" fillId="3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2" fillId="3" borderId="3" xfId="0" applyFont="1" applyFill="1" applyBorder="1" applyAlignment="1" applyProtection="1">
      <alignment vertical="center"/>
      <protection hidden="1"/>
    </xf>
    <xf numFmtId="0" fontId="2" fillId="3" borderId="17" xfId="0" applyFont="1" applyFill="1" applyBorder="1" applyProtection="1">
      <protection hidden="1"/>
    </xf>
    <xf numFmtId="0" fontId="2" fillId="3" borderId="9" xfId="0" applyFont="1" applyFill="1" applyBorder="1" applyProtection="1">
      <protection hidden="1"/>
    </xf>
    <xf numFmtId="0" fontId="23" fillId="3" borderId="5" xfId="0" applyFont="1" applyFill="1" applyBorder="1" applyProtection="1">
      <protection hidden="1"/>
    </xf>
    <xf numFmtId="0" fontId="2" fillId="3" borderId="0" xfId="0" applyFont="1" applyFill="1" applyAlignment="1" applyProtection="1">
      <alignment vertical="top"/>
      <protection hidden="1"/>
    </xf>
    <xf numFmtId="0" fontId="20" fillId="3" borderId="0" xfId="0" applyFont="1" applyFill="1" applyProtection="1">
      <protection hidden="1"/>
    </xf>
    <xf numFmtId="0" fontId="6" fillId="3" borderId="7" xfId="0" applyFont="1" applyFill="1" applyBorder="1" applyProtection="1">
      <protection hidden="1"/>
    </xf>
    <xf numFmtId="0" fontId="6" fillId="3" borderId="4" xfId="0" applyFont="1" applyFill="1" applyBorder="1" applyProtection="1">
      <protection hidden="1"/>
    </xf>
    <xf numFmtId="0" fontId="3" fillId="3" borderId="7" xfId="0" applyFont="1" applyFill="1" applyBorder="1" applyAlignment="1" applyProtection="1">
      <alignment horizontal="center" vertical="center"/>
      <protection hidden="1"/>
    </xf>
    <xf numFmtId="0" fontId="34" fillId="3" borderId="3" xfId="1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16" fillId="3" borderId="0" xfId="0" applyFont="1" applyFill="1" applyAlignment="1" applyProtection="1">
      <alignment vertical="center"/>
      <protection hidden="1"/>
    </xf>
    <xf numFmtId="173" fontId="5" fillId="3" borderId="0" xfId="0" applyNumberFormat="1" applyFont="1" applyFill="1" applyAlignment="1" applyProtection="1">
      <alignment vertical="center"/>
      <protection hidden="1"/>
    </xf>
    <xf numFmtId="172" fontId="5" fillId="3" borderId="0" xfId="0" applyNumberFormat="1" applyFont="1" applyFill="1" applyAlignment="1" applyProtection="1">
      <alignment vertical="center"/>
      <protection hidden="1"/>
    </xf>
    <xf numFmtId="0" fontId="23" fillId="3" borderId="0" xfId="0" applyFont="1" applyFill="1" applyAlignment="1" applyProtection="1">
      <alignment vertical="center"/>
      <protection hidden="1"/>
    </xf>
    <xf numFmtId="0" fontId="23" fillId="3" borderId="10" xfId="0" applyFont="1" applyFill="1" applyBorder="1" applyAlignment="1" applyProtection="1">
      <alignment vertical="center"/>
      <protection hidden="1"/>
    </xf>
    <xf numFmtId="0" fontId="2" fillId="3" borderId="5" xfId="0" applyFont="1" applyFill="1" applyBorder="1" applyProtection="1">
      <protection hidden="1"/>
    </xf>
    <xf numFmtId="0" fontId="31" fillId="3" borderId="2" xfId="0" applyFont="1" applyFill="1" applyBorder="1" applyAlignment="1" applyProtection="1">
      <alignment vertical="center"/>
      <protection hidden="1"/>
    </xf>
    <xf numFmtId="0" fontId="32" fillId="3" borderId="2" xfId="0" applyFont="1" applyFill="1" applyBorder="1" applyProtection="1">
      <protection hidden="1"/>
    </xf>
    <xf numFmtId="172" fontId="5" fillId="3" borderId="2" xfId="0" applyNumberFormat="1" applyFont="1" applyFill="1" applyBorder="1" applyAlignment="1" applyProtection="1">
      <alignment vertical="center"/>
      <protection hidden="1"/>
    </xf>
    <xf numFmtId="0" fontId="5" fillId="3" borderId="2" xfId="0" applyFont="1" applyFill="1" applyBorder="1" applyAlignment="1" applyProtection="1">
      <alignment vertical="center"/>
      <protection hidden="1"/>
    </xf>
    <xf numFmtId="0" fontId="23" fillId="3" borderId="2" xfId="0" applyFont="1" applyFill="1" applyBorder="1" applyAlignment="1" applyProtection="1">
      <alignment vertical="center"/>
      <protection hidden="1"/>
    </xf>
    <xf numFmtId="0" fontId="23" fillId="3" borderId="6" xfId="0" applyFont="1" applyFill="1" applyBorder="1" applyAlignment="1" applyProtection="1">
      <alignment vertical="center"/>
      <protection hidden="1"/>
    </xf>
    <xf numFmtId="169" fontId="15" fillId="3" borderId="7" xfId="0" applyNumberFormat="1" applyFont="1" applyFill="1" applyBorder="1" applyAlignment="1" applyProtection="1">
      <alignment vertical="center"/>
      <protection hidden="1"/>
    </xf>
    <xf numFmtId="169" fontId="15" fillId="3" borderId="3" xfId="0" applyNumberFormat="1" applyFont="1" applyFill="1" applyBorder="1" applyAlignment="1" applyProtection="1">
      <alignment vertical="center"/>
      <protection hidden="1"/>
    </xf>
    <xf numFmtId="0" fontId="44" fillId="3" borderId="2" xfId="0" applyFont="1" applyFill="1" applyBorder="1" applyAlignment="1" applyProtection="1">
      <alignment vertical="center" wrapText="1"/>
      <protection hidden="1"/>
    </xf>
    <xf numFmtId="0" fontId="44" fillId="3" borderId="2" xfId="0" applyFont="1" applyFill="1" applyBorder="1" applyAlignment="1" applyProtection="1">
      <alignment vertical="center"/>
      <protection hidden="1"/>
    </xf>
    <xf numFmtId="14" fontId="2" fillId="3" borderId="3" xfId="0" applyNumberFormat="1" applyFont="1" applyFill="1" applyBorder="1" applyAlignment="1" applyProtection="1">
      <alignment horizontal="left"/>
      <protection hidden="1"/>
    </xf>
    <xf numFmtId="0" fontId="2" fillId="3" borderId="3" xfId="0" applyFont="1" applyFill="1" applyBorder="1" applyProtection="1">
      <protection hidden="1"/>
    </xf>
    <xf numFmtId="0" fontId="2" fillId="3" borderId="8" xfId="0" applyFont="1" applyFill="1" applyBorder="1" applyProtection="1">
      <protection hidden="1"/>
    </xf>
    <xf numFmtId="4" fontId="2" fillId="3" borderId="7" xfId="0" applyNumberFormat="1" applyFont="1" applyFill="1" applyBorder="1" applyAlignment="1" applyProtection="1">
      <alignment horizontal="center" vertical="center"/>
      <protection hidden="1"/>
    </xf>
    <xf numFmtId="4" fontId="2" fillId="3" borderId="3" xfId="0" applyNumberFormat="1" applyFont="1" applyFill="1" applyBorder="1" applyAlignment="1" applyProtection="1">
      <alignment horizontal="center" vertical="center"/>
      <protection hidden="1"/>
    </xf>
    <xf numFmtId="4" fontId="2" fillId="3" borderId="4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right"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164" fontId="0" fillId="0" borderId="0" xfId="0" applyNumberFormat="1" applyAlignment="1">
      <alignment horizontal="center" vertical="top"/>
    </xf>
    <xf numFmtId="167" fontId="0" fillId="0" borderId="0" xfId="0" applyNumberFormat="1" applyAlignment="1">
      <alignment horizontal="center" vertical="top"/>
    </xf>
    <xf numFmtId="0" fontId="52" fillId="0" borderId="0" xfId="0" applyFont="1" applyAlignment="1">
      <alignment horizontal="left" vertical="top"/>
    </xf>
    <xf numFmtId="0" fontId="0" fillId="10" borderId="0" xfId="0" applyFill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55" fillId="0" borderId="0" xfId="0" applyFont="1" applyAlignment="1">
      <alignment horizontal="left" vertical="center" wrapText="1"/>
    </xf>
    <xf numFmtId="0" fontId="19" fillId="0" borderId="0" xfId="0" applyFont="1" applyAlignment="1">
      <alignment vertical="top"/>
    </xf>
    <xf numFmtId="0" fontId="2" fillId="0" borderId="26" xfId="0" applyFont="1" applyBorder="1" applyAlignment="1" applyProtection="1">
      <alignment horizontal="center" vertical="center"/>
      <protection hidden="1"/>
    </xf>
    <xf numFmtId="0" fontId="56" fillId="3" borderId="0" xfId="4" applyFont="1" applyFill="1" applyAlignment="1" applyProtection="1">
      <alignment horizontal="center" vertical="center"/>
      <protection hidden="1"/>
    </xf>
    <xf numFmtId="0" fontId="54" fillId="3" borderId="0" xfId="0" applyFont="1" applyFill="1" applyAlignment="1" applyProtection="1">
      <alignment horizontal="center"/>
      <protection hidden="1"/>
    </xf>
    <xf numFmtId="165" fontId="21" fillId="3" borderId="1" xfId="3" applyNumberFormat="1" applyFont="1" applyFill="1" applyBorder="1" applyAlignment="1" applyProtection="1">
      <alignment horizontal="center"/>
      <protection hidden="1"/>
    </xf>
    <xf numFmtId="4" fontId="2" fillId="3" borderId="1" xfId="3" applyNumberFormat="1" applyFont="1" applyFill="1" applyBorder="1" applyAlignment="1" applyProtection="1">
      <alignment horizontal="center" vertical="center"/>
      <protection hidden="1"/>
    </xf>
    <xf numFmtId="0" fontId="2" fillId="3" borderId="26" xfId="0" applyFont="1" applyFill="1" applyBorder="1" applyAlignment="1" applyProtection="1">
      <alignment horizontal="center" vertical="center"/>
      <protection hidden="1"/>
    </xf>
    <xf numFmtId="170" fontId="2" fillId="3" borderId="1" xfId="0" applyNumberFormat="1" applyFont="1" applyFill="1" applyBorder="1" applyAlignment="1" applyProtection="1">
      <alignment horizontal="center" vertical="center"/>
      <protection hidden="1"/>
    </xf>
    <xf numFmtId="0" fontId="2" fillId="8" borderId="1" xfId="0" applyFont="1" applyFill="1" applyBorder="1" applyProtection="1">
      <protection hidden="1"/>
    </xf>
    <xf numFmtId="3" fontId="6" fillId="3" borderId="3" xfId="3" applyNumberFormat="1" applyFont="1" applyFill="1" applyBorder="1" applyAlignment="1" applyProtection="1">
      <alignment horizontal="center" vertical="center"/>
      <protection hidden="1"/>
    </xf>
    <xf numFmtId="3" fontId="6" fillId="3" borderId="4" xfId="3" applyNumberFormat="1" applyFont="1" applyFill="1" applyBorder="1" applyAlignment="1" applyProtection="1">
      <alignment horizontal="center" vertical="center"/>
      <protection hidden="1"/>
    </xf>
    <xf numFmtId="3" fontId="6" fillId="3" borderId="7" xfId="3" applyNumberFormat="1" applyFont="1" applyFill="1" applyBorder="1" applyAlignment="1" applyProtection="1">
      <alignment horizontal="center" vertical="center"/>
      <protection hidden="1"/>
    </xf>
    <xf numFmtId="0" fontId="10" fillId="0" borderId="0" xfId="0" applyFont="1" applyAlignment="1">
      <alignment horizontal="left" vertical="top"/>
    </xf>
    <xf numFmtId="0" fontId="58" fillId="11" borderId="0" xfId="0" applyFont="1" applyFill="1" applyAlignment="1">
      <alignment horizontal="left" vertical="top"/>
    </xf>
    <xf numFmtId="0" fontId="58" fillId="11" borderId="0" xfId="0" applyFont="1" applyFill="1" applyAlignment="1">
      <alignment horizontal="right" vertical="top"/>
    </xf>
    <xf numFmtId="0" fontId="19" fillId="11" borderId="0" xfId="0" applyFont="1" applyFill="1" applyAlignment="1">
      <alignment horizontal="right" vertical="top"/>
    </xf>
    <xf numFmtId="0" fontId="0" fillId="11" borderId="0" xfId="0" applyFill="1" applyAlignment="1">
      <alignment horizontal="right" vertical="top"/>
    </xf>
    <xf numFmtId="0" fontId="0" fillId="11" borderId="0" xfId="0" applyFill="1" applyAlignment="1">
      <alignment horizontal="center" vertical="top"/>
    </xf>
    <xf numFmtId="14" fontId="0" fillId="11" borderId="0" xfId="0" applyNumberFormat="1" applyFill="1" applyAlignment="1">
      <alignment horizontal="center" vertical="top"/>
    </xf>
    <xf numFmtId="0" fontId="0" fillId="3" borderId="0" xfId="0" applyFill="1" applyAlignment="1">
      <alignment vertical="top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10" fillId="0" borderId="0" xfId="0" applyFont="1" applyAlignment="1">
      <alignment horizontal="center" vertical="top"/>
    </xf>
    <xf numFmtId="0" fontId="0" fillId="0" borderId="0" xfId="0" applyAlignment="1">
      <alignment horizontal="left" vertical="center"/>
    </xf>
    <xf numFmtId="2" fontId="10" fillId="5" borderId="0" xfId="0" applyNumberFormat="1" applyFont="1" applyFill="1" applyAlignment="1">
      <alignment horizontal="center" vertical="center"/>
    </xf>
    <xf numFmtId="0" fontId="10" fillId="5" borderId="0" xfId="0" applyFont="1" applyFill="1" applyAlignment="1">
      <alignment horizontal="left" vertical="center"/>
    </xf>
    <xf numFmtId="14" fontId="0" fillId="5" borderId="0" xfId="0" applyNumberFormat="1" applyFill="1" applyAlignment="1">
      <alignment horizontal="left" vertical="center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0" fillId="5" borderId="0" xfId="0" applyFont="1" applyFill="1" applyAlignment="1">
      <alignment horizontal="right" vertical="center"/>
    </xf>
    <xf numFmtId="0" fontId="19" fillId="13" borderId="0" xfId="0" applyFont="1" applyFill="1" applyAlignment="1">
      <alignment horizontal="center" vertical="top"/>
    </xf>
    <xf numFmtId="0" fontId="19" fillId="13" borderId="0" xfId="0" applyFont="1" applyFill="1" applyAlignment="1">
      <alignment vertical="top"/>
    </xf>
    <xf numFmtId="0" fontId="19" fillId="13" borderId="0" xfId="0" applyFont="1" applyFill="1" applyAlignment="1">
      <alignment horizontal="center" vertical="top" wrapText="1"/>
    </xf>
    <xf numFmtId="180" fontId="0" fillId="0" borderId="0" xfId="0" applyNumberFormat="1" applyAlignment="1">
      <alignment horizontal="center" vertical="top"/>
    </xf>
    <xf numFmtId="181" fontId="0" fillId="0" borderId="0" xfId="5" applyNumberFormat="1" applyFont="1" applyAlignment="1">
      <alignment horizontal="center" vertical="top"/>
    </xf>
    <xf numFmtId="181" fontId="0" fillId="0" borderId="0" xfId="0" applyNumberFormat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182" fontId="0" fillId="0" borderId="0" xfId="0" applyNumberFormat="1" applyAlignment="1">
      <alignment horizontal="center" vertical="top"/>
    </xf>
    <xf numFmtId="182" fontId="0" fillId="0" borderId="0" xfId="0" applyNumberFormat="1" applyAlignment="1">
      <alignment vertical="top"/>
    </xf>
    <xf numFmtId="0" fontId="10" fillId="5" borderId="0" xfId="0" applyFont="1" applyFill="1" applyAlignment="1">
      <alignment horizontal="left" vertical="top"/>
    </xf>
    <xf numFmtId="0" fontId="0" fillId="5" borderId="0" xfId="0" applyFill="1" applyAlignment="1">
      <alignment horizontal="left" vertical="top"/>
    </xf>
    <xf numFmtId="14" fontId="0" fillId="5" borderId="0" xfId="0" applyNumberFormat="1" applyFill="1" applyAlignment="1">
      <alignment horizontal="left" vertical="top"/>
    </xf>
    <xf numFmtId="0" fontId="0" fillId="5" borderId="0" xfId="0" applyFill="1" applyAlignment="1">
      <alignment horizontal="center" vertical="top"/>
    </xf>
    <xf numFmtId="0" fontId="0" fillId="0" borderId="0" xfId="0" applyAlignment="1">
      <alignment horizontal="right"/>
    </xf>
    <xf numFmtId="0" fontId="19" fillId="5" borderId="0" xfId="0" applyFont="1" applyFill="1" applyAlignment="1">
      <alignment horizontal="right"/>
    </xf>
    <xf numFmtId="0" fontId="62" fillId="0" borderId="0" xfId="0" applyFont="1" applyAlignment="1">
      <alignment vertical="top"/>
    </xf>
    <xf numFmtId="0" fontId="60" fillId="0" borderId="0" xfId="0" applyFont="1" applyAlignment="1">
      <alignment vertical="center"/>
    </xf>
    <xf numFmtId="0" fontId="6" fillId="0" borderId="0" xfId="0" applyFont="1" applyProtection="1">
      <protection hidden="1"/>
    </xf>
    <xf numFmtId="0" fontId="13" fillId="0" borderId="7" xfId="0" applyFont="1" applyBorder="1" applyAlignment="1" applyProtection="1">
      <alignment horizontal="center" vertical="center"/>
      <protection hidden="1"/>
    </xf>
    <xf numFmtId="0" fontId="13" fillId="0" borderId="3" xfId="0" applyFont="1" applyBorder="1" applyAlignment="1" applyProtection="1">
      <alignment horizontal="center" vertical="center"/>
      <protection hidden="1"/>
    </xf>
    <xf numFmtId="0" fontId="13" fillId="3" borderId="3" xfId="0" applyFont="1" applyFill="1" applyBorder="1" applyAlignment="1" applyProtection="1">
      <alignment horizontal="center"/>
      <protection hidden="1"/>
    </xf>
    <xf numFmtId="0" fontId="13" fillId="0" borderId="3" xfId="0" applyFont="1" applyBorder="1" applyAlignment="1" applyProtection="1">
      <alignment horizontal="center"/>
      <protection hidden="1"/>
    </xf>
    <xf numFmtId="0" fontId="13" fillId="3" borderId="3" xfId="0" applyFont="1" applyFill="1" applyBorder="1" applyAlignment="1" applyProtection="1">
      <alignment horizontal="center" vertical="center"/>
      <protection hidden="1"/>
    </xf>
    <xf numFmtId="0" fontId="13" fillId="3" borderId="3" xfId="1" applyNumberFormat="1" applyFont="1" applyFill="1" applyBorder="1" applyAlignment="1" applyProtection="1">
      <alignment horizontal="center" vertical="center"/>
      <protection hidden="1"/>
    </xf>
    <xf numFmtId="0" fontId="13" fillId="3" borderId="4" xfId="1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 textRotation="180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6" fillId="0" borderId="0" xfId="0" applyFont="1" applyAlignment="1" applyProtection="1">
      <alignment horizontal="center"/>
      <protection hidden="1"/>
    </xf>
    <xf numFmtId="0" fontId="67" fillId="11" borderId="0" xfId="0" applyFont="1" applyFill="1" applyAlignment="1">
      <alignment horizontal="center" vertical="top"/>
    </xf>
    <xf numFmtId="0" fontId="61" fillId="16" borderId="0" xfId="0" applyFont="1" applyFill="1" applyAlignment="1">
      <alignment vertical="center"/>
    </xf>
    <xf numFmtId="0" fontId="61" fillId="16" borderId="81" xfId="0" applyFont="1" applyFill="1" applyBorder="1" applyAlignment="1">
      <alignment horizontal="left" vertical="center" wrapText="1"/>
    </xf>
    <xf numFmtId="0" fontId="57" fillId="14" borderId="82" xfId="0" applyFont="1" applyFill="1" applyBorder="1" applyAlignment="1">
      <alignment horizontal="left" vertical="center" wrapText="1"/>
    </xf>
    <xf numFmtId="0" fontId="57" fillId="14" borderId="83" xfId="0" applyFont="1" applyFill="1" applyBorder="1" applyAlignment="1">
      <alignment horizontal="left" vertical="center" wrapText="1"/>
    </xf>
    <xf numFmtId="0" fontId="57" fillId="15" borderId="84" xfId="0" applyFont="1" applyFill="1" applyBorder="1" applyAlignment="1">
      <alignment horizontal="left" vertical="center" wrapText="1"/>
    </xf>
    <xf numFmtId="0" fontId="57" fillId="15" borderId="80" xfId="0" applyFont="1" applyFill="1" applyBorder="1" applyAlignment="1">
      <alignment horizontal="left" vertical="center" wrapText="1"/>
    </xf>
    <xf numFmtId="0" fontId="57" fillId="14" borderId="84" xfId="0" applyFont="1" applyFill="1" applyBorder="1" applyAlignment="1">
      <alignment horizontal="left" vertical="center" wrapText="1"/>
    </xf>
    <xf numFmtId="0" fontId="57" fillId="14" borderId="80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2" fontId="0" fillId="0" borderId="0" xfId="0" applyNumberFormat="1" applyAlignment="1">
      <alignment horizontal="center" vertical="top"/>
    </xf>
    <xf numFmtId="0" fontId="62" fillId="0" borderId="0" xfId="0" applyFont="1" applyAlignment="1">
      <alignment vertical="center"/>
    </xf>
    <xf numFmtId="0" fontId="0" fillId="11" borderId="1" xfId="0" applyFill="1" applyBorder="1" applyAlignment="1">
      <alignment horizontal="center" vertical="center"/>
    </xf>
    <xf numFmtId="0" fontId="19" fillId="11" borderId="1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11" borderId="1" xfId="0" applyFill="1" applyBorder="1" applyAlignment="1">
      <alignment horizontal="left" vertical="center"/>
    </xf>
    <xf numFmtId="0" fontId="0" fillId="11" borderId="1" xfId="0" applyFill="1" applyBorder="1" applyAlignment="1">
      <alignment horizontal="center"/>
    </xf>
    <xf numFmtId="0" fontId="19" fillId="11" borderId="1" xfId="0" applyFont="1" applyFill="1" applyBorder="1" applyAlignment="1">
      <alignment horizontal="center"/>
    </xf>
    <xf numFmtId="0" fontId="0" fillId="0" borderId="1" xfId="0" applyBorder="1"/>
    <xf numFmtId="0" fontId="13" fillId="5" borderId="1" xfId="0" applyFont="1" applyFill="1" applyBorder="1" applyAlignment="1">
      <alignment horizontal="center"/>
    </xf>
    <xf numFmtId="0" fontId="59" fillId="5" borderId="1" xfId="0" applyFont="1" applyFill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0" fontId="19" fillId="11" borderId="85" xfId="0" applyFont="1" applyFill="1" applyBorder="1" applyAlignment="1">
      <alignment horizontal="right" vertical="top"/>
    </xf>
    <xf numFmtId="0" fontId="0" fillId="11" borderId="86" xfId="0" applyFill="1" applyBorder="1" applyAlignment="1">
      <alignment horizontal="right" vertical="top"/>
    </xf>
    <xf numFmtId="0" fontId="10" fillId="11" borderId="86" xfId="0" applyFont="1" applyFill="1" applyBorder="1" applyAlignment="1">
      <alignment horizontal="center" vertical="center" wrapText="1"/>
    </xf>
    <xf numFmtId="182" fontId="10" fillId="0" borderId="0" xfId="0" applyNumberFormat="1" applyFont="1" applyAlignment="1">
      <alignment horizontal="center" vertical="top"/>
    </xf>
    <xf numFmtId="4" fontId="2" fillId="0" borderId="1" xfId="0" applyNumberFormat="1" applyFont="1" applyBorder="1" applyAlignment="1" applyProtection="1">
      <alignment horizontal="right" vertical="center"/>
      <protection hidden="1"/>
    </xf>
    <xf numFmtId="186" fontId="2" fillId="0" borderId="1" xfId="0" applyNumberFormat="1" applyFont="1" applyBorder="1" applyAlignment="1" applyProtection="1">
      <alignment vertical="center"/>
      <protection hidden="1"/>
    </xf>
    <xf numFmtId="3" fontId="2" fillId="0" borderId="7" xfId="0" applyNumberFormat="1" applyFont="1" applyBorder="1" applyAlignment="1" applyProtection="1">
      <alignment vertical="center"/>
      <protection hidden="1"/>
    </xf>
    <xf numFmtId="184" fontId="2" fillId="0" borderId="7" xfId="0" applyNumberFormat="1" applyFont="1" applyBorder="1" applyAlignment="1" applyProtection="1">
      <alignment vertical="center"/>
      <protection hidden="1"/>
    </xf>
    <xf numFmtId="185" fontId="2" fillId="0" borderId="7" xfId="0" applyNumberFormat="1" applyFont="1" applyBorder="1" applyAlignment="1" applyProtection="1">
      <alignment vertical="center"/>
      <protection hidden="1"/>
    </xf>
    <xf numFmtId="10" fontId="2" fillId="0" borderId="7" xfId="5" applyNumberFormat="1" applyFont="1" applyBorder="1" applyAlignment="1" applyProtection="1">
      <alignment vertical="center"/>
      <protection hidden="1"/>
    </xf>
    <xf numFmtId="187" fontId="2" fillId="0" borderId="7" xfId="0" applyNumberFormat="1" applyFont="1" applyBorder="1" applyAlignment="1" applyProtection="1">
      <alignment vertical="center"/>
      <protection hidden="1"/>
    </xf>
    <xf numFmtId="4" fontId="2" fillId="0" borderId="7" xfId="0" applyNumberFormat="1" applyFont="1" applyBorder="1" applyAlignment="1" applyProtection="1">
      <alignment vertical="center"/>
      <protection hidden="1"/>
    </xf>
    <xf numFmtId="0" fontId="2" fillId="0" borderId="7" xfId="0" applyFont="1" applyBorder="1" applyAlignment="1" applyProtection="1">
      <alignment vertical="center"/>
      <protection hidden="1"/>
    </xf>
    <xf numFmtId="0" fontId="70" fillId="5" borderId="0" xfId="0" applyFont="1" applyFill="1" applyAlignment="1" applyProtection="1">
      <alignment horizontal="center" vertical="center"/>
      <protection hidden="1"/>
    </xf>
    <xf numFmtId="0" fontId="70" fillId="11" borderId="0" xfId="0" applyFont="1" applyFill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4" fontId="2" fillId="0" borderId="1" xfId="0" applyNumberFormat="1" applyFont="1" applyBorder="1" applyAlignment="1" applyProtection="1">
      <alignment horizontal="center" vertical="center"/>
      <protection hidden="1"/>
    </xf>
    <xf numFmtId="4" fontId="2" fillId="0" borderId="0" xfId="0" applyNumberFormat="1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0" fillId="3" borderId="0" xfId="0" applyFill="1" applyProtection="1">
      <protection hidden="1"/>
    </xf>
    <xf numFmtId="0" fontId="25" fillId="0" borderId="0" xfId="0" applyFont="1" applyAlignment="1" applyProtection="1">
      <alignment vertical="top" wrapText="1"/>
      <protection hidden="1"/>
    </xf>
    <xf numFmtId="10" fontId="0" fillId="0" borderId="1" xfId="5" applyNumberFormat="1" applyFont="1" applyBorder="1"/>
    <xf numFmtId="10" fontId="0" fillId="0" borderId="1" xfId="5" applyNumberFormat="1" applyFont="1" applyBorder="1" applyAlignment="1">
      <alignment horizontal="center"/>
    </xf>
    <xf numFmtId="9" fontId="10" fillId="0" borderId="0" xfId="5" applyFont="1"/>
    <xf numFmtId="0" fontId="37" fillId="0" borderId="0" xfId="0" applyFont="1"/>
    <xf numFmtId="2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right"/>
    </xf>
    <xf numFmtId="0" fontId="59" fillId="0" borderId="0" xfId="0" applyFont="1" applyAlignment="1">
      <alignment vertical="top"/>
    </xf>
    <xf numFmtId="0" fontId="70" fillId="0" borderId="0" xfId="0" applyFont="1"/>
    <xf numFmtId="0" fontId="70" fillId="5" borderId="1" xfId="0" applyFont="1" applyFill="1" applyBorder="1" applyAlignment="1">
      <alignment horizontal="center"/>
    </xf>
    <xf numFmtId="182" fontId="0" fillId="7" borderId="0" xfId="0" applyNumberFormat="1" applyFill="1" applyAlignment="1">
      <alignment horizontal="center" vertical="top"/>
    </xf>
    <xf numFmtId="182" fontId="10" fillId="7" borderId="0" xfId="0" applyNumberFormat="1" applyFont="1" applyFill="1" applyAlignment="1">
      <alignment horizontal="center" vertical="top"/>
    </xf>
    <xf numFmtId="0" fontId="10" fillId="0" borderId="0" xfId="0" applyFont="1" applyAlignment="1">
      <alignment vertical="top"/>
    </xf>
    <xf numFmtId="0" fontId="10" fillId="11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2" fontId="10" fillId="0" borderId="1" xfId="0" applyNumberFormat="1" applyFont="1" applyBorder="1" applyAlignment="1">
      <alignment horizontal="center"/>
    </xf>
    <xf numFmtId="2" fontId="0" fillId="0" borderId="0" xfId="0" applyNumberFormat="1"/>
    <xf numFmtId="166" fontId="6" fillId="19" borderId="66" xfId="0" applyNumberFormat="1" applyFont="1" applyFill="1" applyBorder="1" applyAlignment="1" applyProtection="1">
      <alignment horizontal="centerContinuous" vertical="center"/>
      <protection hidden="1"/>
    </xf>
    <xf numFmtId="189" fontId="2" fillId="0" borderId="0" xfId="0" applyNumberFormat="1" applyFont="1" applyAlignment="1" applyProtection="1">
      <alignment vertical="center"/>
      <protection hidden="1"/>
    </xf>
    <xf numFmtId="190" fontId="2" fillId="0" borderId="7" xfId="5" applyNumberFormat="1" applyFont="1" applyBorder="1" applyAlignment="1" applyProtection="1">
      <alignment vertical="center"/>
      <protection hidden="1"/>
    </xf>
    <xf numFmtId="191" fontId="2" fillId="0" borderId="1" xfId="0" applyNumberFormat="1" applyFont="1" applyBorder="1" applyAlignment="1" applyProtection="1">
      <alignment horizontal="right" vertical="center"/>
      <protection hidden="1"/>
    </xf>
    <xf numFmtId="1" fontId="0" fillId="0" borderId="1" xfId="0" applyNumberFormat="1" applyBorder="1" applyAlignment="1">
      <alignment horizontal="center"/>
    </xf>
    <xf numFmtId="0" fontId="2" fillId="3" borderId="0" xfId="0" applyFont="1" applyFill="1" applyAlignment="1" applyProtection="1">
      <alignment horizontal="left" vertical="center"/>
      <protection hidden="1"/>
    </xf>
    <xf numFmtId="0" fontId="2" fillId="3" borderId="8" xfId="0" applyFont="1" applyFill="1" applyBorder="1" applyAlignment="1" applyProtection="1">
      <alignment horizontal="left" vertical="center"/>
      <protection hidden="1"/>
    </xf>
    <xf numFmtId="166" fontId="6" fillId="18" borderId="19" xfId="0" applyNumberFormat="1" applyFont="1" applyFill="1" applyBorder="1" applyAlignment="1" applyProtection="1">
      <alignment horizontal="centerContinuous" vertical="center"/>
      <protection hidden="1"/>
    </xf>
    <xf numFmtId="166" fontId="6" fillId="18" borderId="66" xfId="0" applyNumberFormat="1" applyFont="1" applyFill="1" applyBorder="1" applyAlignment="1" applyProtection="1">
      <alignment horizontal="centerContinuous" vertical="center"/>
      <protection hidden="1"/>
    </xf>
    <xf numFmtId="14" fontId="2" fillId="0" borderId="0" xfId="0" applyNumberFormat="1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 wrapText="1"/>
      <protection hidden="1"/>
    </xf>
    <xf numFmtId="3" fontId="2" fillId="0" borderId="0" xfId="0" applyNumberFormat="1" applyFont="1" applyAlignment="1" applyProtection="1">
      <alignment horizontal="center" vertical="center"/>
      <protection hidden="1"/>
    </xf>
    <xf numFmtId="10" fontId="2" fillId="0" borderId="1" xfId="0" applyNumberFormat="1" applyFont="1" applyBorder="1" applyAlignment="1" applyProtection="1">
      <alignment horizontal="center" vertical="center"/>
      <protection hidden="1"/>
    </xf>
    <xf numFmtId="4" fontId="2" fillId="8" borderId="62" xfId="0" applyNumberFormat="1" applyFont="1" applyFill="1" applyBorder="1" applyAlignment="1" applyProtection="1">
      <alignment horizontal="center" vertical="center"/>
      <protection locked="0"/>
    </xf>
    <xf numFmtId="4" fontId="2" fillId="8" borderId="63" xfId="0" applyNumberFormat="1" applyFont="1" applyFill="1" applyBorder="1" applyAlignment="1" applyProtection="1">
      <alignment horizontal="center" vertical="center"/>
      <protection locked="0"/>
    </xf>
    <xf numFmtId="4" fontId="2" fillId="8" borderId="46" xfId="0" applyNumberFormat="1" applyFont="1" applyFill="1" applyBorder="1" applyAlignment="1" applyProtection="1">
      <alignment horizontal="center" vertical="center"/>
      <protection locked="0"/>
    </xf>
    <xf numFmtId="4" fontId="2" fillId="8" borderId="47" xfId="0" applyNumberFormat="1" applyFont="1" applyFill="1" applyBorder="1" applyAlignment="1" applyProtection="1">
      <alignment horizontal="center" vertical="center"/>
      <protection locked="0"/>
    </xf>
    <xf numFmtId="4" fontId="2" fillId="8" borderId="15" xfId="0" applyNumberFormat="1" applyFont="1" applyFill="1" applyBorder="1" applyAlignment="1" applyProtection="1">
      <alignment horizontal="center" vertical="center"/>
      <protection locked="0"/>
    </xf>
    <xf numFmtId="4" fontId="2" fillId="8" borderId="54" xfId="0" applyNumberFormat="1" applyFont="1" applyFill="1" applyBorder="1" applyAlignment="1" applyProtection="1">
      <alignment horizontal="center" vertical="center"/>
      <protection locked="0"/>
    </xf>
    <xf numFmtId="4" fontId="2" fillId="8" borderId="49" xfId="0" applyNumberFormat="1" applyFont="1" applyFill="1" applyBorder="1" applyAlignment="1" applyProtection="1">
      <alignment horizontal="center" vertical="center"/>
      <protection locked="0"/>
    </xf>
    <xf numFmtId="4" fontId="2" fillId="8" borderId="57" xfId="0" applyNumberFormat="1" applyFont="1" applyFill="1" applyBorder="1" applyAlignment="1" applyProtection="1">
      <alignment horizontal="center" vertical="center"/>
      <protection locked="0"/>
    </xf>
    <xf numFmtId="4" fontId="2" fillId="8" borderId="1" xfId="0" applyNumberFormat="1" applyFont="1" applyFill="1" applyBorder="1" applyAlignment="1" applyProtection="1">
      <alignment horizontal="center" vertical="center"/>
      <protection locked="0"/>
    </xf>
    <xf numFmtId="4" fontId="39" fillId="0" borderId="69" xfId="0" applyNumberFormat="1" applyFont="1" applyBorder="1" applyAlignment="1" applyProtection="1">
      <alignment horizontal="center" vertical="center"/>
      <protection hidden="1"/>
    </xf>
    <xf numFmtId="10" fontId="39" fillId="0" borderId="69" xfId="5" applyNumberFormat="1" applyFont="1" applyBorder="1" applyAlignment="1" applyProtection="1">
      <alignment horizontal="center" vertical="center"/>
      <protection hidden="1"/>
    </xf>
    <xf numFmtId="3" fontId="39" fillId="0" borderId="69" xfId="0" applyNumberFormat="1" applyFont="1" applyBorder="1" applyAlignment="1" applyProtection="1">
      <alignment horizontal="center" vertical="center"/>
      <protection hidden="1"/>
    </xf>
    <xf numFmtId="2" fontId="28" fillId="0" borderId="7" xfId="0" applyNumberFormat="1" applyFont="1" applyBorder="1" applyAlignment="1" applyProtection="1">
      <alignment horizontal="center" vertical="center"/>
      <protection hidden="1"/>
    </xf>
    <xf numFmtId="2" fontId="28" fillId="0" borderId="67" xfId="0" applyNumberFormat="1" applyFont="1" applyBorder="1" applyAlignment="1" applyProtection="1">
      <alignment horizontal="center" vertical="center"/>
      <protection hidden="1"/>
    </xf>
    <xf numFmtId="10" fontId="28" fillId="0" borderId="7" xfId="5" applyNumberFormat="1" applyFont="1" applyBorder="1" applyAlignment="1" applyProtection="1">
      <alignment horizontal="center" vertical="center"/>
      <protection hidden="1"/>
    </xf>
    <xf numFmtId="0" fontId="39" fillId="0" borderId="3" xfId="0" applyFont="1" applyBorder="1" applyAlignment="1" applyProtection="1">
      <alignment horizontal="center" vertical="center"/>
      <protection hidden="1"/>
    </xf>
    <xf numFmtId="0" fontId="39" fillId="0" borderId="65" xfId="0" applyFont="1" applyBorder="1" applyAlignment="1" applyProtection="1">
      <alignment horizontal="center" vertical="center"/>
      <protection hidden="1"/>
    </xf>
    <xf numFmtId="0" fontId="39" fillId="0" borderId="7" xfId="0" applyFont="1" applyBorder="1" applyAlignment="1" applyProtection="1">
      <alignment horizontal="center" vertical="center"/>
      <protection hidden="1"/>
    </xf>
    <xf numFmtId="0" fontId="46" fillId="3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vertical="top" wrapText="1"/>
      <protection hidden="1"/>
    </xf>
    <xf numFmtId="0" fontId="70" fillId="0" borderId="0" xfId="0" applyFont="1" applyAlignment="1" applyProtection="1">
      <alignment horizontal="left" vertical="top" wrapText="1"/>
      <protection hidden="1"/>
    </xf>
    <xf numFmtId="0" fontId="73" fillId="0" borderId="0" xfId="0" applyFont="1" applyAlignment="1" applyProtection="1">
      <alignment horizontal="center" vertical="center" wrapText="1"/>
      <protection hidden="1"/>
    </xf>
    <xf numFmtId="0" fontId="74" fillId="0" borderId="0" xfId="0" applyFont="1" applyAlignment="1" applyProtection="1">
      <alignment horizontal="center" vertical="center"/>
      <protection hidden="1"/>
    </xf>
    <xf numFmtId="4" fontId="39" fillId="0" borderId="77" xfId="0" applyNumberFormat="1" applyFont="1" applyBorder="1" applyAlignment="1" applyProtection="1">
      <alignment horizontal="center" vertical="center"/>
      <protection hidden="1"/>
    </xf>
    <xf numFmtId="4" fontId="39" fillId="0" borderId="78" xfId="0" applyNumberFormat="1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0" fontId="10" fillId="0" borderId="0" xfId="0" applyFont="1" applyAlignment="1" applyProtection="1">
      <alignment vertical="top" wrapText="1"/>
      <protection hidden="1"/>
    </xf>
    <xf numFmtId="0" fontId="19" fillId="5" borderId="1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10" fillId="0" borderId="0" xfId="0" applyFont="1" applyAlignment="1" applyProtection="1">
      <alignment horizontal="center" vertical="center"/>
      <protection hidden="1"/>
    </xf>
    <xf numFmtId="2" fontId="10" fillId="0" borderId="1" xfId="0" applyNumberFormat="1" applyFont="1" applyBorder="1" applyAlignment="1">
      <alignment horizontal="center" vertical="center"/>
    </xf>
    <xf numFmtId="14" fontId="0" fillId="5" borderId="0" xfId="0" applyNumberFormat="1" applyFill="1" applyAlignment="1" applyProtection="1">
      <alignment horizontal="center" vertical="center"/>
      <protection hidden="1"/>
    </xf>
    <xf numFmtId="0" fontId="0" fillId="11" borderId="0" xfId="0" applyFill="1" applyAlignment="1" applyProtection="1">
      <alignment horizontal="center" vertical="center"/>
      <protection hidden="1"/>
    </xf>
    <xf numFmtId="0" fontId="10" fillId="5" borderId="0" xfId="0" applyFont="1" applyFill="1" applyAlignment="1" applyProtection="1">
      <alignment horizontal="left" vertical="center"/>
      <protection hidden="1"/>
    </xf>
    <xf numFmtId="0" fontId="19" fillId="0" borderId="0" xfId="0" applyFont="1" applyAlignment="1" applyProtection="1">
      <alignment vertical="top"/>
      <protection hidden="1"/>
    </xf>
    <xf numFmtId="0" fontId="19" fillId="5" borderId="0" xfId="0" applyFont="1" applyFill="1"/>
    <xf numFmtId="3" fontId="39" fillId="0" borderId="40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hidden="1"/>
    </xf>
    <xf numFmtId="2" fontId="10" fillId="6" borderId="1" xfId="0" applyNumberFormat="1" applyFont="1" applyFill="1" applyBorder="1" applyAlignment="1">
      <alignment horizontal="center" vertical="center"/>
    </xf>
    <xf numFmtId="0" fontId="54" fillId="3" borderId="0" xfId="0" applyFont="1" applyFill="1" applyAlignment="1" applyProtection="1">
      <alignment vertical="center"/>
      <protection hidden="1"/>
    </xf>
    <xf numFmtId="0" fontId="50" fillId="3" borderId="4" xfId="1" applyFont="1" applyFill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vertical="center"/>
      <protection hidden="1"/>
    </xf>
    <xf numFmtId="164" fontId="24" fillId="0" borderId="7" xfId="0" applyNumberFormat="1" applyFont="1" applyBorder="1" applyAlignment="1" applyProtection="1">
      <alignment horizontal="left" vertical="center"/>
      <protection hidden="1"/>
    </xf>
    <xf numFmtId="164" fontId="6" fillId="0" borderId="7" xfId="0" applyNumberFormat="1" applyFont="1" applyBorder="1" applyAlignment="1" applyProtection="1">
      <alignment horizontal="left" vertical="center"/>
      <protection hidden="1"/>
    </xf>
    <xf numFmtId="4" fontId="2" fillId="0" borderId="25" xfId="0" applyNumberFormat="1" applyFont="1" applyBorder="1" applyAlignment="1" applyProtection="1">
      <alignment vertical="center"/>
      <protection hidden="1"/>
    </xf>
    <xf numFmtId="4" fontId="22" fillId="0" borderId="20" xfId="0" applyNumberFormat="1" applyFont="1" applyBorder="1" applyAlignment="1" applyProtection="1">
      <alignment vertical="center" wrapText="1"/>
      <protection hidden="1"/>
    </xf>
    <xf numFmtId="4" fontId="2" fillId="0" borderId="7" xfId="0" applyNumberFormat="1" applyFont="1" applyBorder="1" applyAlignment="1" applyProtection="1">
      <alignment vertical="center" wrapText="1"/>
      <protection hidden="1"/>
    </xf>
    <xf numFmtId="4" fontId="2" fillId="0" borderId="69" xfId="0" applyNumberFormat="1" applyFont="1" applyBorder="1" applyAlignment="1" applyProtection="1">
      <alignment vertical="center"/>
      <protection hidden="1"/>
    </xf>
    <xf numFmtId="4" fontId="2" fillId="0" borderId="19" xfId="0" applyNumberFormat="1" applyFont="1" applyBorder="1" applyAlignment="1" applyProtection="1">
      <alignment vertical="center"/>
      <protection hidden="1"/>
    </xf>
    <xf numFmtId="4" fontId="2" fillId="0" borderId="20" xfId="0" applyNumberFormat="1" applyFont="1" applyBorder="1" applyAlignment="1" applyProtection="1">
      <alignment vertical="center"/>
      <protection hidden="1"/>
    </xf>
    <xf numFmtId="4" fontId="2" fillId="0" borderId="29" xfId="0" applyNumberFormat="1" applyFont="1" applyBorder="1" applyAlignment="1" applyProtection="1">
      <alignment horizontal="left" vertical="center"/>
      <protection hidden="1"/>
    </xf>
    <xf numFmtId="4" fontId="2" fillId="0" borderId="24" xfId="0" applyNumberFormat="1" applyFont="1" applyBorder="1" applyAlignment="1" applyProtection="1">
      <alignment horizontal="left" vertical="center"/>
      <protection hidden="1"/>
    </xf>
    <xf numFmtId="4" fontId="2" fillId="0" borderId="20" xfId="0" applyNumberFormat="1" applyFont="1" applyBorder="1" applyAlignment="1" applyProtection="1">
      <alignment horizontal="left" vertical="center"/>
      <protection hidden="1"/>
    </xf>
    <xf numFmtId="4" fontId="2" fillId="0" borderId="90" xfId="0" applyNumberFormat="1" applyFont="1" applyBorder="1" applyAlignment="1" applyProtection="1">
      <alignment horizontal="left" vertical="center"/>
      <protection hidden="1"/>
    </xf>
    <xf numFmtId="4" fontId="22" fillId="0" borderId="91" xfId="0" applyNumberFormat="1" applyFont="1" applyBorder="1" applyAlignment="1" applyProtection="1">
      <alignment vertical="center" wrapText="1"/>
      <protection hidden="1"/>
    </xf>
    <xf numFmtId="10" fontId="23" fillId="0" borderId="0" xfId="0" applyNumberFormat="1" applyFont="1" applyAlignment="1" applyProtection="1">
      <alignment horizontal="center"/>
      <protection hidden="1"/>
    </xf>
    <xf numFmtId="169" fontId="47" fillId="0" borderId="0" xfId="0" applyNumberFormat="1" applyFont="1" applyAlignment="1" applyProtection="1">
      <alignment horizontal="right" vertical="center"/>
      <protection hidden="1"/>
    </xf>
    <xf numFmtId="0" fontId="36" fillId="0" borderId="0" xfId="0" applyFont="1" applyAlignment="1" applyProtection="1">
      <alignment horizontal="right" vertical="center"/>
      <protection hidden="1"/>
    </xf>
    <xf numFmtId="0" fontId="50" fillId="0" borderId="0" xfId="1" applyFont="1" applyFill="1" applyBorder="1" applyAlignment="1" applyProtection="1">
      <alignment horizontal="center" vertical="center"/>
      <protection hidden="1"/>
    </xf>
    <xf numFmtId="0" fontId="13" fillId="0" borderId="0" xfId="1" applyNumberFormat="1" applyFont="1" applyFill="1" applyBorder="1" applyAlignment="1" applyProtection="1">
      <alignment horizontal="center" vertical="center"/>
      <protection hidden="1"/>
    </xf>
    <xf numFmtId="4" fontId="2" fillId="0" borderId="10" xfId="0" applyNumberFormat="1" applyFont="1" applyBorder="1" applyAlignment="1" applyProtection="1">
      <alignment horizontal="center" vertical="center"/>
      <protection locked="0"/>
    </xf>
    <xf numFmtId="4" fontId="22" fillId="0" borderId="10" xfId="0" applyNumberFormat="1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3" fontId="6" fillId="0" borderId="10" xfId="3" applyNumberFormat="1" applyFont="1" applyBorder="1" applyAlignment="1" applyProtection="1">
      <alignment horizontal="center" vertical="center"/>
      <protection hidden="1"/>
    </xf>
    <xf numFmtId="165" fontId="21" fillId="0" borderId="28" xfId="3" applyNumberFormat="1" applyFont="1" applyBorder="1" applyAlignment="1" applyProtection="1">
      <alignment horizontal="center"/>
      <protection hidden="1"/>
    </xf>
    <xf numFmtId="167" fontId="6" fillId="0" borderId="10" xfId="3" applyNumberFormat="1" applyFont="1" applyBorder="1" applyAlignment="1" applyProtection="1">
      <alignment horizontal="center" vertical="center"/>
      <protection hidden="1"/>
    </xf>
    <xf numFmtId="4" fontId="2" fillId="0" borderId="28" xfId="3" applyNumberFormat="1" applyFont="1" applyBorder="1" applyAlignment="1" applyProtection="1">
      <alignment horizontal="center" vertical="center"/>
      <protection hidden="1"/>
    </xf>
    <xf numFmtId="0" fontId="2" fillId="0" borderId="28" xfId="0" applyFont="1" applyBorder="1" applyAlignment="1" applyProtection="1">
      <alignment horizontal="center" vertical="center"/>
      <protection hidden="1"/>
    </xf>
    <xf numFmtId="4" fontId="2" fillId="0" borderId="28" xfId="0" applyNumberFormat="1" applyFont="1" applyBorder="1" applyAlignment="1" applyProtection="1">
      <alignment horizontal="center" vertical="center"/>
      <protection locked="0"/>
    </xf>
    <xf numFmtId="170" fontId="2" fillId="0" borderId="28" xfId="0" applyNumberFormat="1" applyFont="1" applyBorder="1" applyAlignment="1" applyProtection="1">
      <alignment horizontal="center" vertical="center"/>
      <protection hidden="1"/>
    </xf>
    <xf numFmtId="193" fontId="75" fillId="0" borderId="19" xfId="0" applyNumberFormat="1" applyFont="1" applyBorder="1" applyAlignment="1" applyProtection="1">
      <alignment horizontal="center" vertical="center"/>
      <protection hidden="1"/>
    </xf>
    <xf numFmtId="193" fontId="75" fillId="0" borderId="66" xfId="0" applyNumberFormat="1" applyFont="1" applyBorder="1" applyAlignment="1" applyProtection="1">
      <alignment horizontal="center" vertical="center"/>
      <protection hidden="1"/>
    </xf>
    <xf numFmtId="193" fontId="75" fillId="3" borderId="66" xfId="0" applyNumberFormat="1" applyFont="1" applyFill="1" applyBorder="1" applyAlignment="1" applyProtection="1">
      <alignment horizontal="center"/>
      <protection hidden="1"/>
    </xf>
    <xf numFmtId="193" fontId="75" fillId="0" borderId="66" xfId="0" applyNumberFormat="1" applyFont="1" applyBorder="1" applyAlignment="1" applyProtection="1">
      <alignment horizontal="center"/>
      <protection hidden="1"/>
    </xf>
    <xf numFmtId="193" fontId="75" fillId="3" borderId="66" xfId="0" applyNumberFormat="1" applyFont="1" applyFill="1" applyBorder="1" applyAlignment="1" applyProtection="1">
      <alignment horizontal="center" vertical="center"/>
      <protection hidden="1"/>
    </xf>
    <xf numFmtId="193" fontId="75" fillId="3" borderId="66" xfId="1" applyNumberFormat="1" applyFont="1" applyFill="1" applyBorder="1" applyAlignment="1" applyProtection="1">
      <alignment horizontal="center" vertical="center"/>
      <protection hidden="1"/>
    </xf>
    <xf numFmtId="193" fontId="75" fillId="3" borderId="32" xfId="1" applyNumberFormat="1" applyFont="1" applyFill="1" applyBorder="1" applyAlignment="1" applyProtection="1">
      <alignment horizontal="center" vertical="center"/>
      <protection hidden="1"/>
    </xf>
    <xf numFmtId="193" fontId="75" fillId="0" borderId="19" xfId="1" applyNumberFormat="1" applyFont="1" applyFill="1" applyBorder="1" applyAlignment="1" applyProtection="1">
      <alignment horizontal="center" vertical="center"/>
      <protection hidden="1"/>
    </xf>
    <xf numFmtId="193" fontId="75" fillId="0" borderId="20" xfId="0" applyNumberFormat="1" applyFont="1" applyBorder="1" applyAlignment="1" applyProtection="1">
      <alignment horizontal="center" vertical="center"/>
      <protection hidden="1"/>
    </xf>
    <xf numFmtId="193" fontId="75" fillId="0" borderId="35" xfId="0" applyNumberFormat="1" applyFont="1" applyBorder="1" applyAlignment="1" applyProtection="1">
      <alignment horizontal="center" vertical="center"/>
      <protection hidden="1"/>
    </xf>
    <xf numFmtId="193" fontId="75" fillId="3" borderId="35" xfId="0" applyNumberFormat="1" applyFont="1" applyFill="1" applyBorder="1" applyAlignment="1" applyProtection="1">
      <alignment horizontal="center"/>
      <protection hidden="1"/>
    </xf>
    <xf numFmtId="193" fontId="75" fillId="0" borderId="35" xfId="0" applyNumberFormat="1" applyFont="1" applyBorder="1" applyAlignment="1" applyProtection="1">
      <alignment horizontal="center"/>
      <protection hidden="1"/>
    </xf>
    <xf numFmtId="193" fontId="75" fillId="3" borderId="35" xfId="0" applyNumberFormat="1" applyFont="1" applyFill="1" applyBorder="1" applyAlignment="1" applyProtection="1">
      <alignment horizontal="center" vertical="center"/>
      <protection hidden="1"/>
    </xf>
    <xf numFmtId="193" fontId="75" fillId="3" borderId="35" xfId="1" applyNumberFormat="1" applyFont="1" applyFill="1" applyBorder="1" applyAlignment="1" applyProtection="1">
      <alignment horizontal="center" vertical="center"/>
      <protection hidden="1"/>
    </xf>
    <xf numFmtId="193" fontId="75" fillId="3" borderId="33" xfId="1" applyNumberFormat="1" applyFont="1" applyFill="1" applyBorder="1" applyAlignment="1" applyProtection="1">
      <alignment horizontal="center" vertical="center"/>
      <protection hidden="1"/>
    </xf>
    <xf numFmtId="193" fontId="75" fillId="0" borderId="20" xfId="1" applyNumberFormat="1" applyFont="1" applyFill="1" applyBorder="1" applyAlignment="1" applyProtection="1">
      <alignment horizontal="center" vertical="center"/>
      <protection hidden="1"/>
    </xf>
    <xf numFmtId="165" fontId="13" fillId="0" borderId="20" xfId="0" applyNumberFormat="1" applyFont="1" applyBorder="1" applyAlignment="1" applyProtection="1">
      <alignment horizontal="center" vertical="center"/>
      <protection hidden="1"/>
    </xf>
    <xf numFmtId="165" fontId="13" fillId="0" borderId="35" xfId="0" applyNumberFormat="1" applyFont="1" applyBorder="1" applyAlignment="1" applyProtection="1">
      <alignment horizontal="center" vertical="center"/>
      <protection hidden="1"/>
    </xf>
    <xf numFmtId="165" fontId="13" fillId="3" borderId="35" xfId="0" applyNumberFormat="1" applyFont="1" applyFill="1" applyBorder="1" applyAlignment="1" applyProtection="1">
      <alignment horizontal="center"/>
      <protection hidden="1"/>
    </xf>
    <xf numFmtId="165" fontId="13" fillId="0" borderId="35" xfId="0" applyNumberFormat="1" applyFont="1" applyBorder="1" applyAlignment="1" applyProtection="1">
      <alignment horizontal="center"/>
      <protection hidden="1"/>
    </xf>
    <xf numFmtId="165" fontId="13" fillId="3" borderId="35" xfId="0" applyNumberFormat="1" applyFont="1" applyFill="1" applyBorder="1" applyAlignment="1" applyProtection="1">
      <alignment horizontal="center" vertical="center"/>
      <protection hidden="1"/>
    </xf>
    <xf numFmtId="165" fontId="13" fillId="3" borderId="35" xfId="1" applyNumberFormat="1" applyFont="1" applyFill="1" applyBorder="1" applyAlignment="1" applyProtection="1">
      <alignment horizontal="center" vertical="center"/>
      <protection hidden="1"/>
    </xf>
    <xf numFmtId="165" fontId="13" fillId="3" borderId="33" xfId="1" applyNumberFormat="1" applyFont="1" applyFill="1" applyBorder="1" applyAlignment="1" applyProtection="1">
      <alignment horizontal="center" vertical="center"/>
      <protection hidden="1"/>
    </xf>
    <xf numFmtId="165" fontId="13" fillId="0" borderId="20" xfId="1" applyNumberFormat="1" applyFont="1" applyFill="1" applyBorder="1" applyAlignment="1" applyProtection="1">
      <alignment horizontal="center" vertical="center"/>
      <protection hidden="1"/>
    </xf>
    <xf numFmtId="165" fontId="12" fillId="20" borderId="20" xfId="0" applyNumberFormat="1" applyFont="1" applyFill="1" applyBorder="1" applyAlignment="1" applyProtection="1">
      <alignment horizontal="center" vertical="center"/>
      <protection hidden="1"/>
    </xf>
    <xf numFmtId="164" fontId="76" fillId="9" borderId="27" xfId="0" applyNumberFormat="1" applyFont="1" applyFill="1" applyBorder="1" applyAlignment="1" applyProtection="1">
      <alignment horizontal="left" vertical="center" indent="1"/>
      <protection hidden="1"/>
    </xf>
    <xf numFmtId="164" fontId="76" fillId="9" borderId="28" xfId="0" applyNumberFormat="1" applyFont="1" applyFill="1" applyBorder="1" applyAlignment="1" applyProtection="1">
      <alignment horizontal="left" vertical="center" indent="1"/>
      <protection hidden="1"/>
    </xf>
    <xf numFmtId="164" fontId="76" fillId="9" borderId="18" xfId="0" applyNumberFormat="1" applyFont="1" applyFill="1" applyBorder="1" applyAlignment="1" applyProtection="1">
      <alignment horizontal="left" vertical="center" indent="1"/>
      <protection hidden="1"/>
    </xf>
    <xf numFmtId="4" fontId="22" fillId="0" borderId="59" xfId="0" applyNumberFormat="1" applyFont="1" applyBorder="1" applyAlignment="1" applyProtection="1">
      <alignment horizontal="center" vertical="center"/>
      <protection hidden="1"/>
    </xf>
    <xf numFmtId="4" fontId="22" fillId="0" borderId="60" xfId="0" applyNumberFormat="1" applyFont="1" applyBorder="1" applyAlignment="1" applyProtection="1">
      <alignment horizontal="center" vertical="center"/>
      <protection hidden="1"/>
    </xf>
    <xf numFmtId="4" fontId="22" fillId="0" borderId="58" xfId="0" applyNumberFormat="1" applyFont="1" applyBorder="1" applyAlignment="1" applyProtection="1">
      <alignment horizontal="center" vertical="center"/>
      <protection hidden="1"/>
    </xf>
    <xf numFmtId="0" fontId="77" fillId="0" borderId="0" xfId="0" applyFont="1" applyAlignment="1" applyProtection="1">
      <alignment horizontal="center"/>
      <protection hidden="1"/>
    </xf>
    <xf numFmtId="0" fontId="77" fillId="0" borderId="0" xfId="0" applyFont="1" applyAlignment="1" applyProtection="1">
      <alignment horizontal="center" textRotation="180"/>
      <protection hidden="1"/>
    </xf>
    <xf numFmtId="0" fontId="77" fillId="0" borderId="0" xfId="0" applyFont="1" applyAlignment="1" applyProtection="1">
      <alignment horizontal="center" vertical="center"/>
      <protection hidden="1"/>
    </xf>
    <xf numFmtId="0" fontId="77" fillId="0" borderId="0" xfId="0" applyFont="1" applyAlignment="1" applyProtection="1">
      <alignment horizontal="center" vertical="top"/>
      <protection hidden="1"/>
    </xf>
    <xf numFmtId="0" fontId="78" fillId="0" borderId="0" xfId="0" applyFont="1" applyAlignment="1" applyProtection="1">
      <alignment horizontal="center"/>
      <protection hidden="1"/>
    </xf>
    <xf numFmtId="10" fontId="0" fillId="0" borderId="1" xfId="5" applyNumberFormat="1" applyFont="1" applyFill="1" applyBorder="1" applyAlignment="1">
      <alignment horizontal="center"/>
    </xf>
    <xf numFmtId="10" fontId="0" fillId="0" borderId="1" xfId="5" applyNumberFormat="1" applyFont="1" applyFill="1" applyBorder="1"/>
    <xf numFmtId="0" fontId="14" fillId="0" borderId="0" xfId="0" applyFont="1"/>
    <xf numFmtId="0" fontId="0" fillId="11" borderId="0" xfId="0" applyFill="1" applyAlignment="1">
      <alignment horizontal="center"/>
    </xf>
    <xf numFmtId="0" fontId="19" fillId="11" borderId="0" xfId="0" applyFont="1" applyFill="1" applyAlignment="1">
      <alignment horizontal="left"/>
    </xf>
    <xf numFmtId="0" fontId="10" fillId="11" borderId="1" xfId="0" applyFont="1" applyFill="1" applyBorder="1"/>
    <xf numFmtId="183" fontId="10" fillId="11" borderId="1" xfId="0" applyNumberFormat="1" applyFont="1" applyFill="1" applyBorder="1" applyAlignment="1">
      <alignment vertical="center"/>
    </xf>
    <xf numFmtId="0" fontId="10" fillId="0" borderId="0" xfId="0" applyFont="1" applyAlignment="1" applyProtection="1">
      <alignment horizontal="left" vertical="center"/>
      <protection hidden="1"/>
    </xf>
    <xf numFmtId="166" fontId="71" fillId="0" borderId="66" xfId="0" applyNumberFormat="1" applyFont="1" applyBorder="1" applyAlignment="1" applyProtection="1">
      <alignment horizontal="centerContinuous" vertical="center"/>
      <protection hidden="1"/>
    </xf>
    <xf numFmtId="166" fontId="6" fillId="0" borderId="66" xfId="0" applyNumberFormat="1" applyFont="1" applyBorder="1" applyAlignment="1" applyProtection="1">
      <alignment horizontal="centerContinuous" vertical="center"/>
      <protection hidden="1"/>
    </xf>
    <xf numFmtId="166" fontId="71" fillId="0" borderId="32" xfId="0" applyNumberFormat="1" applyFont="1" applyBorder="1" applyAlignment="1" applyProtection="1">
      <alignment horizontal="centerContinuous" vertical="center"/>
      <protection hidden="1"/>
    </xf>
    <xf numFmtId="166" fontId="71" fillId="0" borderId="19" xfId="0" applyNumberFormat="1" applyFont="1" applyBorder="1" applyAlignment="1" applyProtection="1">
      <alignment horizontal="centerContinuous" vertical="center"/>
      <protection hidden="1"/>
    </xf>
    <xf numFmtId="0" fontId="22" fillId="3" borderId="33" xfId="0" applyFont="1" applyFill="1" applyBorder="1" applyAlignment="1" applyProtection="1">
      <alignment horizontal="center" vertical="center"/>
      <protection hidden="1"/>
    </xf>
    <xf numFmtId="174" fontId="8" fillId="3" borderId="8" xfId="0" applyNumberFormat="1" applyFont="1" applyFill="1" applyBorder="1" applyAlignment="1" applyProtection="1">
      <alignment vertical="center"/>
      <protection hidden="1"/>
    </xf>
    <xf numFmtId="174" fontId="8" fillId="3" borderId="0" xfId="0" applyNumberFormat="1" applyFont="1" applyFill="1" applyAlignment="1" applyProtection="1">
      <alignment vertical="center"/>
      <protection hidden="1"/>
    </xf>
    <xf numFmtId="174" fontId="8" fillId="3" borderId="2" xfId="0" applyNumberFormat="1" applyFont="1" applyFill="1" applyBorder="1" applyAlignment="1" applyProtection="1">
      <alignment vertical="center"/>
      <protection hidden="1"/>
    </xf>
    <xf numFmtId="0" fontId="23" fillId="3" borderId="30" xfId="0" applyFont="1" applyFill="1" applyBorder="1" applyAlignment="1" applyProtection="1">
      <alignment vertical="center"/>
      <protection hidden="1"/>
    </xf>
    <xf numFmtId="0" fontId="23" fillId="3" borderId="21" xfId="0" applyFont="1" applyFill="1" applyBorder="1" applyAlignment="1" applyProtection="1">
      <alignment vertical="center"/>
      <protection hidden="1"/>
    </xf>
    <xf numFmtId="0" fontId="22" fillId="3" borderId="19" xfId="0" applyFont="1" applyFill="1" applyBorder="1" applyAlignment="1" applyProtection="1">
      <alignment vertical="center" wrapText="1"/>
      <protection hidden="1"/>
    </xf>
    <xf numFmtId="0" fontId="2" fillId="3" borderId="20" xfId="0" applyFont="1" applyFill="1" applyBorder="1" applyAlignment="1" applyProtection="1">
      <alignment vertical="center" wrapText="1"/>
      <protection hidden="1"/>
    </xf>
    <xf numFmtId="0" fontId="2" fillId="3" borderId="17" xfId="0" applyFont="1" applyFill="1" applyBorder="1" applyAlignment="1" applyProtection="1">
      <alignment horizontal="left" vertical="center" indent="1"/>
      <protection hidden="1"/>
    </xf>
    <xf numFmtId="0" fontId="2" fillId="3" borderId="8" xfId="0" applyFont="1" applyFill="1" applyBorder="1" applyAlignment="1" applyProtection="1">
      <alignment horizontal="left" vertical="center" indent="1"/>
      <protection hidden="1"/>
    </xf>
    <xf numFmtId="0" fontId="22" fillId="3" borderId="25" xfId="0" applyFont="1" applyFill="1" applyBorder="1" applyAlignment="1" applyProtection="1">
      <alignment horizontal="center" vertical="center"/>
      <protection hidden="1"/>
    </xf>
    <xf numFmtId="0" fontId="22" fillId="3" borderId="29" xfId="0" applyFont="1" applyFill="1" applyBorder="1" applyAlignment="1" applyProtection="1">
      <alignment horizontal="left" vertical="center"/>
      <protection hidden="1"/>
    </xf>
    <xf numFmtId="0" fontId="22" fillId="3" borderId="20" xfId="0" applyFont="1" applyFill="1" applyBorder="1" applyAlignment="1" applyProtection="1">
      <alignment vertical="center"/>
      <protection hidden="1"/>
    </xf>
    <xf numFmtId="0" fontId="22" fillId="3" borderId="24" xfId="0" applyFont="1" applyFill="1" applyBorder="1" applyAlignment="1" applyProtection="1">
      <alignment vertical="center"/>
      <protection hidden="1"/>
    </xf>
    <xf numFmtId="0" fontId="22" fillId="3" borderId="9" xfId="0" applyFont="1" applyFill="1" applyBorder="1" applyAlignment="1" applyProtection="1">
      <alignment vertical="center"/>
      <protection hidden="1"/>
    </xf>
    <xf numFmtId="0" fontId="22" fillId="3" borderId="10" xfId="0" applyFont="1" applyFill="1" applyBorder="1" applyAlignment="1" applyProtection="1">
      <alignment horizontal="center" vertical="center"/>
      <protection hidden="1"/>
    </xf>
    <xf numFmtId="0" fontId="22" fillId="3" borderId="17" xfId="0" applyFont="1" applyFill="1" applyBorder="1" applyAlignment="1" applyProtection="1">
      <alignment vertical="center"/>
      <protection hidden="1"/>
    </xf>
    <xf numFmtId="0" fontId="22" fillId="3" borderId="29" xfId="0" applyFont="1" applyFill="1" applyBorder="1" applyAlignment="1" applyProtection="1">
      <alignment vertical="center"/>
      <protection hidden="1"/>
    </xf>
    <xf numFmtId="0" fontId="22" fillId="3" borderId="24" xfId="0" applyFont="1" applyFill="1" applyBorder="1" applyAlignment="1" applyProtection="1">
      <alignment vertical="center" wrapText="1"/>
      <protection hidden="1"/>
    </xf>
    <xf numFmtId="166" fontId="2" fillId="3" borderId="0" xfId="0" applyNumberFormat="1" applyFont="1" applyFill="1" applyAlignment="1" applyProtection="1">
      <alignment horizontal="right" vertical="center" indent="1"/>
      <protection hidden="1"/>
    </xf>
    <xf numFmtId="166" fontId="2" fillId="3" borderId="10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9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9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10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8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25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8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25" xfId="0" applyNumberFormat="1" applyFont="1" applyFill="1" applyBorder="1" applyAlignment="1" applyProtection="1">
      <alignment horizontal="right" vertical="center" indent="1"/>
      <protection hidden="1"/>
    </xf>
    <xf numFmtId="0" fontId="6" fillId="3" borderId="0" xfId="0" applyFont="1" applyFill="1" applyAlignment="1" applyProtection="1">
      <alignment vertical="center"/>
      <protection hidden="1"/>
    </xf>
    <xf numFmtId="172" fontId="13" fillId="3" borderId="0" xfId="0" applyNumberFormat="1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vertical="top"/>
      <protection hidden="1"/>
    </xf>
    <xf numFmtId="0" fontId="3" fillId="0" borderId="0" xfId="0" quotePrefix="1" applyFont="1" applyProtection="1">
      <protection hidden="1"/>
    </xf>
    <xf numFmtId="0" fontId="70" fillId="0" borderId="0" xfId="0" applyFont="1" applyAlignment="1" applyProtection="1">
      <alignment horizontal="center" vertical="center"/>
      <protection hidden="1"/>
    </xf>
    <xf numFmtId="0" fontId="0" fillId="11" borderId="0" xfId="0" applyFill="1"/>
    <xf numFmtId="0" fontId="22" fillId="3" borderId="7" xfId="0" applyFont="1" applyFill="1" applyBorder="1" applyAlignment="1" applyProtection="1">
      <alignment vertical="center"/>
      <protection hidden="1"/>
    </xf>
    <xf numFmtId="0" fontId="10" fillId="25" borderId="0" xfId="0" applyFont="1" applyFill="1"/>
    <xf numFmtId="0" fontId="10" fillId="26" borderId="0" xfId="0" applyFont="1" applyFill="1"/>
    <xf numFmtId="0" fontId="10" fillId="27" borderId="0" xfId="0" applyFont="1" applyFill="1"/>
    <xf numFmtId="0" fontId="54" fillId="28" borderId="0" xfId="0" applyFont="1" applyFill="1"/>
    <xf numFmtId="0" fontId="54" fillId="29" borderId="0" xfId="0" applyFont="1" applyFill="1"/>
    <xf numFmtId="0" fontId="0" fillId="27" borderId="0" xfId="0" applyFill="1"/>
    <xf numFmtId="164" fontId="24" fillId="0" borderId="1" xfId="0" applyNumberFormat="1" applyFont="1" applyBorder="1" applyAlignment="1" applyProtection="1">
      <alignment horizontal="left" vertical="center"/>
      <protection hidden="1"/>
    </xf>
    <xf numFmtId="10" fontId="39" fillId="0" borderId="91" xfId="5" applyNumberFormat="1" applyFont="1" applyBorder="1" applyAlignment="1" applyProtection="1">
      <alignment horizontal="center" vertical="center"/>
      <protection hidden="1"/>
    </xf>
    <xf numFmtId="0" fontId="13" fillId="30" borderId="0" xfId="0" applyFont="1" applyFill="1" applyProtection="1">
      <protection hidden="1"/>
    </xf>
    <xf numFmtId="0" fontId="39" fillId="30" borderId="7" xfId="0" applyFont="1" applyFill="1" applyBorder="1" applyAlignment="1" applyProtection="1">
      <alignment horizontal="center" vertical="center"/>
      <protection hidden="1"/>
    </xf>
    <xf numFmtId="0" fontId="81" fillId="0" borderId="0" xfId="0" applyFont="1" applyProtection="1">
      <protection hidden="1"/>
    </xf>
    <xf numFmtId="0" fontId="81" fillId="0" borderId="0" xfId="0" applyFont="1"/>
    <xf numFmtId="0" fontId="13" fillId="30" borderId="0" xfId="0" applyFont="1" applyFill="1"/>
    <xf numFmtId="2" fontId="2" fillId="0" borderId="1" xfId="0" applyNumberFormat="1" applyFont="1" applyBorder="1" applyAlignment="1" applyProtection="1">
      <alignment horizontal="right" vertical="center"/>
      <protection hidden="1"/>
    </xf>
    <xf numFmtId="10" fontId="2" fillId="6" borderId="7" xfId="5" applyNumberFormat="1" applyFont="1" applyFill="1" applyBorder="1" applyAlignment="1" applyProtection="1">
      <alignment vertical="center"/>
      <protection hidden="1"/>
    </xf>
    <xf numFmtId="2" fontId="28" fillId="21" borderId="7" xfId="0" applyNumberFormat="1" applyFont="1" applyFill="1" applyBorder="1" applyAlignment="1">
      <alignment horizontal="center" vertical="center"/>
    </xf>
    <xf numFmtId="2" fontId="28" fillId="21" borderId="67" xfId="0" applyNumberFormat="1" applyFont="1" applyFill="1" applyBorder="1" applyAlignment="1">
      <alignment horizontal="center" vertical="center"/>
    </xf>
    <xf numFmtId="10" fontId="28" fillId="21" borderId="7" xfId="5" applyNumberFormat="1" applyFont="1" applyFill="1" applyBorder="1" applyAlignment="1" applyProtection="1">
      <alignment horizontal="center" vertical="center"/>
      <protection hidden="1"/>
    </xf>
    <xf numFmtId="0" fontId="37" fillId="0" borderId="0" xfId="0" applyFont="1" applyAlignment="1">
      <alignment vertical="center"/>
    </xf>
    <xf numFmtId="0" fontId="0" fillId="32" borderId="1" xfId="0" applyFill="1" applyBorder="1" applyAlignment="1">
      <alignment horizontal="left" vertical="center"/>
    </xf>
    <xf numFmtId="0" fontId="0" fillId="33" borderId="1" xfId="0" applyFill="1" applyBorder="1" applyAlignment="1">
      <alignment horizontal="left" vertical="center"/>
    </xf>
    <xf numFmtId="0" fontId="0" fillId="21" borderId="3" xfId="0" applyFill="1" applyBorder="1" applyAlignment="1">
      <alignment horizontal="left" vertical="center"/>
    </xf>
    <xf numFmtId="0" fontId="0" fillId="21" borderId="7" xfId="0" applyFill="1" applyBorder="1" applyAlignment="1">
      <alignment horizontal="left" vertical="center"/>
    </xf>
    <xf numFmtId="0" fontId="0" fillId="22" borderId="4" xfId="0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6" borderId="7" xfId="0" applyFill="1" applyBorder="1" applyAlignment="1">
      <alignment horizontal="left" vertical="center"/>
    </xf>
    <xf numFmtId="0" fontId="0" fillId="6" borderId="3" xfId="0" applyFill="1" applyBorder="1" applyAlignment="1">
      <alignment horizontal="left" vertical="center"/>
    </xf>
    <xf numFmtId="0" fontId="0" fillId="23" borderId="4" xfId="0" applyFill="1" applyBorder="1" applyAlignment="1">
      <alignment horizontal="left" vertical="center"/>
    </xf>
    <xf numFmtId="0" fontId="0" fillId="9" borderId="7" xfId="0" applyFill="1" applyBorder="1" applyAlignment="1">
      <alignment horizontal="left" vertical="center"/>
    </xf>
    <xf numFmtId="0" fontId="0" fillId="9" borderId="3" xfId="0" applyFill="1" applyBorder="1" applyAlignment="1">
      <alignment horizontal="left" vertical="center"/>
    </xf>
    <xf numFmtId="0" fontId="0" fillId="24" borderId="4" xfId="0" applyFill="1" applyBorder="1" applyAlignment="1">
      <alignment horizontal="left" vertical="center"/>
    </xf>
    <xf numFmtId="194" fontId="0" fillId="0" borderId="1" xfId="5" applyNumberFormat="1" applyFont="1" applyBorder="1" applyAlignment="1">
      <alignment horizontal="center"/>
    </xf>
    <xf numFmtId="195" fontId="0" fillId="0" borderId="1" xfId="5" applyNumberFormat="1" applyFont="1" applyBorder="1" applyAlignment="1">
      <alignment horizontal="center"/>
    </xf>
    <xf numFmtId="0" fontId="0" fillId="0" borderId="1" xfId="0" applyBorder="1" applyAlignment="1">
      <alignment horizontal="right"/>
    </xf>
    <xf numFmtId="0" fontId="10" fillId="0" borderId="1" xfId="0" applyFont="1" applyBorder="1" applyAlignment="1">
      <alignment horizontal="center"/>
    </xf>
    <xf numFmtId="4" fontId="22" fillId="0" borderId="42" xfId="0" applyNumberFormat="1" applyFont="1" applyBorder="1" applyAlignment="1" applyProtection="1">
      <alignment vertical="center" wrapText="1"/>
      <protection hidden="1"/>
    </xf>
    <xf numFmtId="4" fontId="6" fillId="0" borderId="0" xfId="0" applyNumberFormat="1" applyFont="1" applyAlignment="1" applyProtection="1">
      <alignment horizontal="left"/>
      <protection hidden="1"/>
    </xf>
    <xf numFmtId="4" fontId="2" fillId="0" borderId="10" xfId="0" applyNumberFormat="1" applyFont="1" applyBorder="1" applyAlignment="1" applyProtection="1">
      <alignment horizontal="center" vertical="center"/>
      <protection hidden="1"/>
    </xf>
    <xf numFmtId="0" fontId="39" fillId="0" borderId="18" xfId="0" applyFont="1" applyBorder="1" applyAlignment="1" applyProtection="1">
      <alignment horizontal="center" vertical="center"/>
      <protection hidden="1"/>
    </xf>
    <xf numFmtId="0" fontId="23" fillId="0" borderId="2" xfId="0" applyFont="1" applyBorder="1" applyProtection="1">
      <protection hidden="1"/>
    </xf>
    <xf numFmtId="20" fontId="2" fillId="0" borderId="0" xfId="0" applyNumberFormat="1" applyFont="1" applyProtection="1">
      <protection hidden="1"/>
    </xf>
    <xf numFmtId="0" fontId="22" fillId="0" borderId="92" xfId="0" applyFont="1" applyBorder="1" applyAlignment="1" applyProtection="1">
      <alignment vertical="center"/>
      <protection hidden="1"/>
    </xf>
    <xf numFmtId="0" fontId="22" fillId="0" borderId="22" xfId="0" applyFont="1" applyBorder="1" applyAlignment="1" applyProtection="1">
      <alignment horizontal="center" vertical="center"/>
      <protection hidden="1"/>
    </xf>
    <xf numFmtId="0" fontId="22" fillId="0" borderId="20" xfId="0" applyFont="1" applyBorder="1" applyAlignment="1" applyProtection="1">
      <alignment vertical="center"/>
      <protection hidden="1"/>
    </xf>
    <xf numFmtId="0" fontId="22" fillId="0" borderId="6" xfId="0" applyFont="1" applyBorder="1" applyAlignment="1" applyProtection="1">
      <alignment horizontal="center" vertical="center"/>
      <protection hidden="1"/>
    </xf>
    <xf numFmtId="14" fontId="10" fillId="35" borderId="0" xfId="0" applyNumberFormat="1" applyFont="1" applyFill="1" applyAlignment="1">
      <alignment horizontal="left" vertical="center" wrapText="1"/>
    </xf>
    <xf numFmtId="3" fontId="10" fillId="0" borderId="1" xfId="0" applyNumberFormat="1" applyFont="1" applyBorder="1" applyAlignment="1">
      <alignment horizontal="right"/>
    </xf>
    <xf numFmtId="166" fontId="2" fillId="0" borderId="8" xfId="0" applyNumberFormat="1" applyFont="1" applyBorder="1" applyAlignment="1" applyProtection="1">
      <alignment vertical="center"/>
      <protection hidden="1"/>
    </xf>
    <xf numFmtId="166" fontId="2" fillId="0" borderId="0" xfId="0" applyNumberFormat="1" applyFont="1" applyAlignment="1" applyProtection="1">
      <alignment vertical="center"/>
      <protection hidden="1"/>
    </xf>
    <xf numFmtId="0" fontId="19" fillId="30" borderId="0" xfId="0" applyFont="1" applyFill="1"/>
    <xf numFmtId="2" fontId="0" fillId="30" borderId="1" xfId="0" applyNumberFormat="1" applyFill="1" applyBorder="1" applyAlignment="1">
      <alignment horizontal="center"/>
    </xf>
    <xf numFmtId="0" fontId="22" fillId="0" borderId="21" xfId="0" applyFont="1" applyBorder="1" applyAlignment="1" applyProtection="1">
      <alignment horizontal="center" vertical="center"/>
      <protection hidden="1"/>
    </xf>
    <xf numFmtId="0" fontId="0" fillId="0" borderId="75" xfId="0" applyBorder="1"/>
    <xf numFmtId="0" fontId="0" fillId="0" borderId="75" xfId="0" applyBorder="1" applyAlignment="1">
      <alignment horizontal="center"/>
    </xf>
    <xf numFmtId="4" fontId="2" fillId="0" borderId="27" xfId="0" applyNumberFormat="1" applyFont="1" applyBorder="1" applyAlignment="1" applyProtection="1">
      <alignment horizontal="left" vertical="center"/>
      <protection hidden="1"/>
    </xf>
    <xf numFmtId="4" fontId="2" fillId="0" borderId="17" xfId="0" applyNumberFormat="1" applyFont="1" applyBorder="1" applyAlignment="1" applyProtection="1">
      <alignment horizontal="left" vertical="center"/>
      <protection hidden="1"/>
    </xf>
    <xf numFmtId="4" fontId="2" fillId="8" borderId="43" xfId="0" applyNumberFormat="1" applyFont="1" applyFill="1" applyBorder="1" applyAlignment="1" applyProtection="1">
      <alignment horizontal="center" vertical="center"/>
      <protection locked="0"/>
    </xf>
    <xf numFmtId="4" fontId="2" fillId="8" borderId="44" xfId="0" applyNumberFormat="1" applyFont="1" applyFill="1" applyBorder="1" applyAlignment="1" applyProtection="1">
      <alignment horizontal="center" vertical="center"/>
      <protection locked="0"/>
    </xf>
    <xf numFmtId="4" fontId="2" fillId="8" borderId="93" xfId="0" applyNumberFormat="1" applyFont="1" applyFill="1" applyBorder="1" applyAlignment="1" applyProtection="1">
      <alignment horizontal="center" vertical="center"/>
      <protection locked="0"/>
    </xf>
    <xf numFmtId="0" fontId="0" fillId="34" borderId="0" xfId="0" applyFill="1" applyAlignment="1">
      <alignment horizontal="left" vertical="top"/>
    </xf>
    <xf numFmtId="166" fontId="6" fillId="18" borderId="32" xfId="0" applyNumberFormat="1" applyFont="1" applyFill="1" applyBorder="1" applyAlignment="1" applyProtection="1">
      <alignment horizontal="centerContinuous" vertical="center"/>
      <protection hidden="1"/>
    </xf>
    <xf numFmtId="2" fontId="0" fillId="30" borderId="1" xfId="0" applyNumberFormat="1" applyFill="1" applyBorder="1" applyAlignment="1">
      <alignment horizontal="right"/>
    </xf>
    <xf numFmtId="0" fontId="18" fillId="0" borderId="2" xfId="0" applyFont="1" applyBorder="1" applyProtection="1">
      <protection hidden="1"/>
    </xf>
    <xf numFmtId="0" fontId="86" fillId="0" borderId="2" xfId="0" applyFont="1" applyBorder="1" applyProtection="1">
      <protection hidden="1"/>
    </xf>
    <xf numFmtId="0" fontId="86" fillId="0" borderId="0" xfId="0" applyFont="1" applyProtection="1">
      <protection hidden="1"/>
    </xf>
    <xf numFmtId="0" fontId="2" fillId="0" borderId="23" xfId="0" applyFont="1" applyBorder="1" applyAlignment="1" applyProtection="1">
      <alignment horizontal="left" vertical="center"/>
      <protection hidden="1"/>
    </xf>
    <xf numFmtId="14" fontId="0" fillId="0" borderId="0" xfId="0" applyNumberFormat="1" applyAlignment="1">
      <alignment horizontal="left" vertical="center" wrapText="1"/>
    </xf>
    <xf numFmtId="14" fontId="10" fillId="0" borderId="0" xfId="0" applyNumberFormat="1" applyFont="1" applyAlignment="1">
      <alignment horizontal="left" vertical="center" wrapText="1"/>
    </xf>
    <xf numFmtId="0" fontId="0" fillId="7" borderId="0" xfId="0" applyFill="1"/>
    <xf numFmtId="0" fontId="0" fillId="7" borderId="0" xfId="0" applyFill="1" applyAlignment="1">
      <alignment vertical="top"/>
    </xf>
    <xf numFmtId="0" fontId="37" fillId="5" borderId="0" xfId="0" applyFont="1" applyFill="1" applyAlignment="1">
      <alignment horizontal="left" vertical="top"/>
    </xf>
    <xf numFmtId="0" fontId="31" fillId="0" borderId="30" xfId="0" applyFont="1" applyBorder="1" applyAlignment="1" applyProtection="1">
      <alignment vertical="center"/>
      <protection hidden="1"/>
    </xf>
    <xf numFmtId="0" fontId="2" fillId="0" borderId="23" xfId="0" applyFont="1" applyBorder="1" applyAlignment="1" applyProtection="1">
      <alignment vertical="center"/>
      <protection hidden="1"/>
    </xf>
    <xf numFmtId="0" fontId="2" fillId="0" borderId="35" xfId="0" applyFont="1" applyBorder="1" applyAlignment="1" applyProtection="1">
      <alignment vertical="center"/>
      <protection hidden="1"/>
    </xf>
    <xf numFmtId="0" fontId="6" fillId="0" borderId="24" xfId="0" applyFont="1" applyBorder="1" applyAlignment="1" applyProtection="1">
      <alignment horizontal="left" vertical="center" indent="2"/>
      <protection hidden="1"/>
    </xf>
    <xf numFmtId="0" fontId="6" fillId="0" borderId="23" xfId="0" applyFont="1" applyBorder="1" applyAlignment="1" applyProtection="1">
      <alignment horizontal="left" vertical="center" indent="1"/>
      <protection hidden="1"/>
    </xf>
    <xf numFmtId="14" fontId="10" fillId="37" borderId="1" xfId="0" applyNumberFormat="1" applyFont="1" applyFill="1" applyBorder="1" applyAlignment="1" applyProtection="1">
      <alignment horizontal="center" vertical="center"/>
      <protection hidden="1"/>
    </xf>
    <xf numFmtId="2" fontId="10" fillId="23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4" fontId="0" fillId="0" borderId="0" xfId="0" applyNumberFormat="1" applyAlignment="1">
      <alignment vertical="center"/>
    </xf>
    <xf numFmtId="0" fontId="37" fillId="0" borderId="0" xfId="0" applyFont="1" applyProtection="1">
      <protection hidden="1"/>
    </xf>
    <xf numFmtId="0" fontId="87" fillId="0" borderId="0" xfId="0" applyFont="1" applyAlignment="1" applyProtection="1">
      <alignment vertical="top"/>
      <protection hidden="1"/>
    </xf>
    <xf numFmtId="0" fontId="87" fillId="0" borderId="0" xfId="0" applyFont="1" applyAlignment="1">
      <alignment vertical="top"/>
    </xf>
    <xf numFmtId="0" fontId="19" fillId="0" borderId="0" xfId="0" applyFont="1" applyProtection="1">
      <protection hidden="1"/>
    </xf>
    <xf numFmtId="0" fontId="0" fillId="21" borderId="1" xfId="0" applyFill="1" applyBorder="1"/>
    <xf numFmtId="0" fontId="0" fillId="21" borderId="1" xfId="0" applyFill="1" applyBorder="1" applyAlignment="1">
      <alignment horizontal="center"/>
    </xf>
    <xf numFmtId="0" fontId="0" fillId="21" borderId="1" xfId="0" applyFill="1" applyBorder="1" applyAlignment="1">
      <alignment horizontal="right"/>
    </xf>
    <xf numFmtId="10" fontId="39" fillId="0" borderId="36" xfId="5" applyNumberFormat="1" applyFont="1" applyBorder="1" applyAlignment="1" applyProtection="1">
      <alignment horizontal="center" vertical="center"/>
      <protection hidden="1"/>
    </xf>
    <xf numFmtId="1" fontId="28" fillId="0" borderId="7" xfId="0" applyNumberFormat="1" applyFont="1" applyBorder="1" applyAlignment="1" applyProtection="1">
      <alignment horizontal="center" vertical="center"/>
      <protection hidden="1"/>
    </xf>
    <xf numFmtId="14" fontId="28" fillId="0" borderId="7" xfId="0" applyNumberFormat="1" applyFont="1" applyBorder="1" applyAlignment="1" applyProtection="1">
      <alignment horizontal="center" vertical="center"/>
      <protection hidden="1"/>
    </xf>
    <xf numFmtId="171" fontId="28" fillId="0" borderId="1" xfId="0" applyNumberFormat="1" applyFont="1" applyBorder="1" applyAlignment="1" applyProtection="1">
      <alignment horizontal="center" vertical="center"/>
      <protection hidden="1"/>
    </xf>
    <xf numFmtId="2" fontId="39" fillId="0" borderId="36" xfId="5" applyNumberFormat="1" applyFont="1" applyBorder="1" applyAlignment="1" applyProtection="1">
      <alignment horizontal="center" vertical="center"/>
      <protection hidden="1"/>
    </xf>
    <xf numFmtId="171" fontId="28" fillId="38" borderId="1" xfId="0" applyNumberFormat="1" applyFont="1" applyFill="1" applyBorder="1" applyAlignment="1" applyProtection="1">
      <alignment horizontal="center" vertical="center"/>
      <protection hidden="1"/>
    </xf>
    <xf numFmtId="2" fontId="29" fillId="6" borderId="36" xfId="5" applyNumberFormat="1" applyFont="1" applyFill="1" applyBorder="1" applyAlignment="1" applyProtection="1">
      <alignment horizontal="center" vertical="center"/>
      <protection hidden="1"/>
    </xf>
    <xf numFmtId="0" fontId="89" fillId="0" borderId="0" xfId="0" applyFont="1" applyAlignment="1" applyProtection="1">
      <alignment horizontal="left" vertical="center"/>
      <protection hidden="1"/>
    </xf>
    <xf numFmtId="0" fontId="90" fillId="0" borderId="0" xfId="0" applyFont="1" applyAlignment="1" applyProtection="1">
      <alignment horizontal="center" vertical="center"/>
      <protection hidden="1"/>
    </xf>
    <xf numFmtId="0" fontId="90" fillId="3" borderId="0" xfId="0" applyFont="1" applyFill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90" fillId="3" borderId="8" xfId="0" applyFont="1" applyFill="1" applyBorder="1" applyAlignment="1">
      <alignment shrinkToFit="1"/>
    </xf>
    <xf numFmtId="0" fontId="0" fillId="3" borderId="28" xfId="0" applyFill="1" applyBorder="1" applyAlignment="1" applyProtection="1">
      <alignment vertical="center" shrinkToFit="1"/>
      <protection locked="0" hidden="1"/>
    </xf>
    <xf numFmtId="0" fontId="28" fillId="0" borderId="7" xfId="0" applyFont="1" applyBorder="1" applyAlignment="1" applyProtection="1">
      <alignment horizontal="center" vertical="center"/>
      <protection hidden="1"/>
    </xf>
    <xf numFmtId="14" fontId="10" fillId="0" borderId="0" xfId="0" applyNumberFormat="1" applyFont="1"/>
    <xf numFmtId="0" fontId="39" fillId="0" borderId="36" xfId="5" applyNumberFormat="1" applyFont="1" applyBorder="1" applyAlignment="1" applyProtection="1">
      <alignment horizontal="center" vertical="center"/>
      <protection hidden="1"/>
    </xf>
    <xf numFmtId="0" fontId="39" fillId="0" borderId="9" xfId="0" applyFont="1" applyBorder="1" applyAlignment="1" applyProtection="1">
      <alignment horizontal="center" vertical="center"/>
      <protection hidden="1"/>
    </xf>
    <xf numFmtId="10" fontId="10" fillId="0" borderId="0" xfId="5" applyNumberFormat="1" applyFont="1" applyFill="1" applyBorder="1" applyAlignment="1" applyProtection="1">
      <alignment horizontal="right" vertical="center"/>
      <protection locked="0"/>
    </xf>
    <xf numFmtId="10" fontId="10" fillId="8" borderId="0" xfId="5" applyNumberFormat="1" applyFont="1" applyFill="1" applyBorder="1" applyAlignment="1" applyProtection="1">
      <alignment horizontal="right" vertical="center"/>
      <protection locked="0"/>
    </xf>
    <xf numFmtId="0" fontId="2" fillId="3" borderId="92" xfId="0" applyFont="1" applyFill="1" applyBorder="1" applyAlignment="1" applyProtection="1">
      <alignment vertical="center" wrapText="1"/>
      <protection hidden="1"/>
    </xf>
    <xf numFmtId="4" fontId="2" fillId="0" borderId="27" xfId="0" applyNumberFormat="1" applyFont="1" applyBorder="1" applyAlignment="1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4" fontId="2" fillId="0" borderId="26" xfId="0" applyNumberFormat="1" applyFont="1" applyBorder="1" applyAlignment="1" applyProtection="1">
      <alignment horizontal="center" vertical="center"/>
      <protection hidden="1"/>
    </xf>
    <xf numFmtId="0" fontId="2" fillId="0" borderId="24" xfId="0" applyFont="1" applyBorder="1" applyAlignment="1" applyProtection="1">
      <alignment vertical="center" wrapText="1"/>
      <protection hidden="1"/>
    </xf>
    <xf numFmtId="0" fontId="10" fillId="0" borderId="0" xfId="2"/>
    <xf numFmtId="199" fontId="10" fillId="0" borderId="0" xfId="2" applyNumberFormat="1"/>
    <xf numFmtId="4" fontId="22" fillId="0" borderId="94" xfId="0" applyNumberFormat="1" applyFont="1" applyBorder="1" applyAlignment="1" applyProtection="1">
      <alignment vertical="center" shrinkToFit="1"/>
      <protection hidden="1"/>
    </xf>
    <xf numFmtId="4" fontId="22" fillId="0" borderId="95" xfId="0" applyNumberFormat="1" applyFont="1" applyBorder="1" applyAlignment="1" applyProtection="1">
      <alignment vertical="center" wrapText="1"/>
      <protection hidden="1"/>
    </xf>
    <xf numFmtId="4" fontId="22" fillId="3" borderId="96" xfId="0" applyNumberFormat="1" applyFont="1" applyFill="1" applyBorder="1" applyAlignment="1" applyProtection="1">
      <alignment horizontal="center" vertical="center"/>
      <protection hidden="1"/>
    </xf>
    <xf numFmtId="4" fontId="22" fillId="3" borderId="97" xfId="0" applyNumberFormat="1" applyFont="1" applyFill="1" applyBorder="1" applyAlignment="1" applyProtection="1">
      <alignment horizontal="center" vertical="center"/>
      <protection hidden="1"/>
    </xf>
    <xf numFmtId="4" fontId="22" fillId="3" borderId="98" xfId="0" applyNumberFormat="1" applyFont="1" applyFill="1" applyBorder="1" applyAlignment="1" applyProtection="1">
      <alignment horizontal="center" vertical="center"/>
      <protection hidden="1"/>
    </xf>
    <xf numFmtId="4" fontId="2" fillId="0" borderId="27" xfId="0" applyNumberFormat="1" applyFont="1" applyBorder="1" applyAlignment="1" applyProtection="1">
      <alignment vertical="center" shrinkToFit="1"/>
      <protection hidden="1"/>
    </xf>
    <xf numFmtId="4" fontId="2" fillId="0" borderId="26" xfId="0" applyNumberFormat="1" applyFont="1" applyBorder="1" applyAlignment="1" applyProtection="1">
      <alignment vertical="center" shrinkToFit="1"/>
      <protection hidden="1"/>
    </xf>
    <xf numFmtId="0" fontId="2" fillId="0" borderId="92" xfId="0" applyFont="1" applyBorder="1" applyAlignment="1" applyProtection="1">
      <alignment vertical="center" wrapText="1"/>
      <protection hidden="1"/>
    </xf>
    <xf numFmtId="0" fontId="2" fillId="0" borderId="20" xfId="0" applyFont="1" applyBorder="1" applyAlignment="1" applyProtection="1">
      <alignment vertical="center" wrapText="1"/>
      <protection hidden="1"/>
    </xf>
    <xf numFmtId="10" fontId="28" fillId="0" borderId="7" xfId="5" applyNumberFormat="1" applyFont="1" applyBorder="1" applyAlignment="1" applyProtection="1">
      <alignment horizontal="center" vertical="center"/>
      <protection hidden="1"/>
    </xf>
    <xf numFmtId="10" fontId="28" fillId="0" borderId="4" xfId="5" applyNumberFormat="1" applyFont="1" applyBorder="1" applyAlignment="1" applyProtection="1">
      <alignment horizontal="center" vertical="center"/>
      <protection hidden="1"/>
    </xf>
    <xf numFmtId="20" fontId="28" fillId="9" borderId="17" xfId="0" applyNumberFormat="1" applyFont="1" applyFill="1" applyBorder="1" applyAlignment="1" applyProtection="1">
      <alignment horizontal="center" vertical="center"/>
      <protection locked="0"/>
    </xf>
    <xf numFmtId="20" fontId="28" fillId="9" borderId="25" xfId="0" applyNumberFormat="1" applyFont="1" applyFill="1" applyBorder="1" applyAlignment="1" applyProtection="1">
      <alignment horizontal="center" vertical="center"/>
      <protection locked="0"/>
    </xf>
    <xf numFmtId="20" fontId="28" fillId="9" borderId="5" xfId="0" applyNumberFormat="1" applyFont="1" applyFill="1" applyBorder="1" applyAlignment="1" applyProtection="1">
      <alignment horizontal="center" vertical="center"/>
      <protection locked="0"/>
    </xf>
    <xf numFmtId="20" fontId="28" fillId="9" borderId="6" xfId="0" applyNumberFormat="1" applyFont="1" applyFill="1" applyBorder="1" applyAlignment="1" applyProtection="1">
      <alignment horizontal="center" vertical="center"/>
      <protection locked="0"/>
    </xf>
    <xf numFmtId="20" fontId="28" fillId="11" borderId="17" xfId="0" applyNumberFormat="1" applyFont="1" applyFill="1" applyBorder="1" applyAlignment="1">
      <alignment horizontal="center" vertical="center"/>
    </xf>
    <xf numFmtId="20" fontId="28" fillId="11" borderId="25" xfId="0" applyNumberFormat="1" applyFont="1" applyFill="1" applyBorder="1" applyAlignment="1">
      <alignment horizontal="center" vertical="center"/>
    </xf>
    <xf numFmtId="20" fontId="28" fillId="11" borderId="5" xfId="0" applyNumberFormat="1" applyFont="1" applyFill="1" applyBorder="1" applyAlignment="1">
      <alignment horizontal="center" vertical="center"/>
    </xf>
    <xf numFmtId="20" fontId="28" fillId="11" borderId="6" xfId="0" applyNumberFormat="1" applyFont="1" applyFill="1" applyBorder="1" applyAlignment="1">
      <alignment horizontal="center" vertical="center"/>
    </xf>
    <xf numFmtId="0" fontId="39" fillId="0" borderId="17" xfId="0" applyFont="1" applyBorder="1" applyAlignment="1" applyProtection="1">
      <alignment horizontal="center" vertical="center" wrapText="1"/>
      <protection hidden="1"/>
    </xf>
    <xf numFmtId="0" fontId="39" fillId="0" borderId="25" xfId="0" applyFont="1" applyBorder="1" applyAlignment="1" applyProtection="1">
      <alignment horizontal="center" vertical="center"/>
      <protection hidden="1"/>
    </xf>
    <xf numFmtId="0" fontId="39" fillId="0" borderId="5" xfId="0" applyFont="1" applyBorder="1" applyAlignment="1" applyProtection="1">
      <alignment horizontal="center" vertical="center"/>
      <protection hidden="1"/>
    </xf>
    <xf numFmtId="0" fontId="39" fillId="0" borderId="6" xfId="0" applyFont="1" applyBorder="1" applyAlignment="1" applyProtection="1">
      <alignment horizontal="center" vertical="center"/>
      <protection hidden="1"/>
    </xf>
    <xf numFmtId="2" fontId="28" fillId="11" borderId="17" xfId="0" applyNumberFormat="1" applyFont="1" applyFill="1" applyBorder="1" applyAlignment="1">
      <alignment horizontal="center" vertical="center"/>
    </xf>
    <xf numFmtId="2" fontId="28" fillId="11" borderId="25" xfId="0" applyNumberFormat="1" applyFont="1" applyFill="1" applyBorder="1" applyAlignment="1">
      <alignment horizontal="center" vertical="center"/>
    </xf>
    <xf numFmtId="2" fontId="28" fillId="11" borderId="5" xfId="0" applyNumberFormat="1" applyFont="1" applyFill="1" applyBorder="1" applyAlignment="1">
      <alignment horizontal="center" vertical="center"/>
    </xf>
    <xf numFmtId="2" fontId="28" fillId="11" borderId="6" xfId="0" applyNumberFormat="1" applyFont="1" applyFill="1" applyBorder="1" applyAlignment="1">
      <alignment horizontal="center" vertical="center"/>
    </xf>
    <xf numFmtId="2" fontId="28" fillId="9" borderId="17" xfId="0" applyNumberFormat="1" applyFont="1" applyFill="1" applyBorder="1" applyAlignment="1" applyProtection="1">
      <alignment horizontal="center" vertical="center"/>
      <protection locked="0"/>
    </xf>
    <xf numFmtId="2" fontId="28" fillId="9" borderId="25" xfId="0" applyNumberFormat="1" applyFont="1" applyFill="1" applyBorder="1" applyAlignment="1" applyProtection="1">
      <alignment horizontal="center" vertical="center"/>
      <protection locked="0"/>
    </xf>
    <xf numFmtId="2" fontId="28" fillId="9" borderId="5" xfId="0" applyNumberFormat="1" applyFont="1" applyFill="1" applyBorder="1" applyAlignment="1" applyProtection="1">
      <alignment horizontal="center" vertical="center"/>
      <protection locked="0"/>
    </xf>
    <xf numFmtId="2" fontId="28" fillId="9" borderId="6" xfId="0" applyNumberFormat="1" applyFont="1" applyFill="1" applyBorder="1" applyAlignment="1" applyProtection="1">
      <alignment horizontal="center" vertical="center"/>
      <protection locked="0"/>
    </xf>
    <xf numFmtId="10" fontId="28" fillId="11" borderId="17" xfId="0" applyNumberFormat="1" applyFont="1" applyFill="1" applyBorder="1" applyAlignment="1">
      <alignment horizontal="center" vertical="center"/>
    </xf>
    <xf numFmtId="10" fontId="28" fillId="11" borderId="25" xfId="0" applyNumberFormat="1" applyFont="1" applyFill="1" applyBorder="1" applyAlignment="1">
      <alignment horizontal="center" vertical="center"/>
    </xf>
    <xf numFmtId="10" fontId="28" fillId="11" borderId="5" xfId="0" applyNumberFormat="1" applyFont="1" applyFill="1" applyBorder="1" applyAlignment="1">
      <alignment horizontal="center" vertical="center"/>
    </xf>
    <xf numFmtId="10" fontId="28" fillId="11" borderId="6" xfId="0" applyNumberFormat="1" applyFont="1" applyFill="1" applyBorder="1" applyAlignment="1">
      <alignment horizontal="center" vertical="center"/>
    </xf>
    <xf numFmtId="10" fontId="28" fillId="9" borderId="17" xfId="0" applyNumberFormat="1" applyFont="1" applyFill="1" applyBorder="1" applyAlignment="1" applyProtection="1">
      <alignment horizontal="center" vertical="center"/>
      <protection locked="0"/>
    </xf>
    <xf numFmtId="10" fontId="28" fillId="9" borderId="25" xfId="0" applyNumberFormat="1" applyFont="1" applyFill="1" applyBorder="1" applyAlignment="1" applyProtection="1">
      <alignment horizontal="center" vertical="center"/>
      <protection locked="0"/>
    </xf>
    <xf numFmtId="10" fontId="28" fillId="9" borderId="5" xfId="0" applyNumberFormat="1" applyFont="1" applyFill="1" applyBorder="1" applyAlignment="1" applyProtection="1">
      <alignment horizontal="center" vertical="center"/>
      <protection locked="0"/>
    </xf>
    <xf numFmtId="10" fontId="28" fillId="9" borderId="6" xfId="0" applyNumberFormat="1" applyFont="1" applyFill="1" applyBorder="1" applyAlignment="1" applyProtection="1">
      <alignment horizontal="center" vertical="center"/>
      <protection locked="0"/>
    </xf>
    <xf numFmtId="2" fontId="28" fillId="0" borderId="7" xfId="0" applyNumberFormat="1" applyFont="1" applyBorder="1" applyAlignment="1" applyProtection="1">
      <alignment horizontal="center" vertical="center"/>
      <protection hidden="1"/>
    </xf>
    <xf numFmtId="2" fontId="28" fillId="0" borderId="4" xfId="0" applyNumberFormat="1" applyFont="1" applyBorder="1" applyAlignment="1" applyProtection="1">
      <alignment horizontal="center" vertical="center"/>
      <protection hidden="1"/>
    </xf>
    <xf numFmtId="4" fontId="39" fillId="0" borderId="69" xfId="0" applyNumberFormat="1" applyFont="1" applyBorder="1" applyAlignment="1" applyProtection="1">
      <alignment horizontal="center" vertical="center"/>
      <protection hidden="1"/>
    </xf>
    <xf numFmtId="4" fontId="39" fillId="0" borderId="70" xfId="0" applyNumberFormat="1" applyFont="1" applyBorder="1" applyAlignment="1" applyProtection="1">
      <alignment horizontal="center" vertical="center"/>
      <protection hidden="1"/>
    </xf>
    <xf numFmtId="10" fontId="28" fillId="0" borderId="67" xfId="5" applyNumberFormat="1" applyFont="1" applyBorder="1" applyAlignment="1" applyProtection="1">
      <alignment horizontal="center" vertical="center"/>
      <protection hidden="1"/>
    </xf>
    <xf numFmtId="10" fontId="28" fillId="0" borderId="11" xfId="5" applyNumberFormat="1" applyFont="1" applyBorder="1" applyAlignment="1" applyProtection="1">
      <alignment horizontal="center" vertical="center"/>
      <protection hidden="1"/>
    </xf>
    <xf numFmtId="10" fontId="39" fillId="0" borderId="69" xfId="5" applyNumberFormat="1" applyFont="1" applyBorder="1" applyAlignment="1" applyProtection="1">
      <alignment horizontal="center" vertical="center"/>
      <protection hidden="1"/>
    </xf>
    <xf numFmtId="10" fontId="39" fillId="0" borderId="70" xfId="5" applyNumberFormat="1" applyFont="1" applyBorder="1" applyAlignment="1" applyProtection="1">
      <alignment horizontal="center" vertical="center"/>
      <protection hidden="1"/>
    </xf>
    <xf numFmtId="2" fontId="28" fillId="0" borderId="67" xfId="0" applyNumberFormat="1" applyFont="1" applyBorder="1" applyAlignment="1" applyProtection="1">
      <alignment horizontal="center" vertical="center"/>
      <protection hidden="1"/>
    </xf>
    <xf numFmtId="2" fontId="28" fillId="0" borderId="11" xfId="0" applyNumberFormat="1" applyFont="1" applyBorder="1" applyAlignment="1" applyProtection="1">
      <alignment horizontal="center" vertical="center"/>
      <protection hidden="1"/>
    </xf>
    <xf numFmtId="2" fontId="28" fillId="8" borderId="7" xfId="0" applyNumberFormat="1" applyFont="1" applyFill="1" applyBorder="1" applyAlignment="1" applyProtection="1">
      <alignment horizontal="center" vertical="center"/>
      <protection locked="0"/>
    </xf>
    <xf numFmtId="2" fontId="28" fillId="8" borderId="4" xfId="0" applyNumberFormat="1" applyFont="1" applyFill="1" applyBorder="1" applyAlignment="1" applyProtection="1">
      <alignment horizontal="center" vertical="center"/>
      <protection locked="0"/>
    </xf>
    <xf numFmtId="0" fontId="39" fillId="0" borderId="7" xfId="0" applyFont="1" applyBorder="1" applyAlignment="1" applyProtection="1">
      <alignment horizontal="center" vertical="center"/>
      <protection hidden="1"/>
    </xf>
    <xf numFmtId="0" fontId="39" fillId="0" borderId="4" xfId="0" applyFont="1" applyBorder="1" applyAlignment="1" applyProtection="1">
      <alignment horizontal="center" vertical="center"/>
      <protection hidden="1"/>
    </xf>
    <xf numFmtId="0" fontId="39" fillId="0" borderId="65" xfId="0" applyFont="1" applyBorder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horizontal="left" vertical="top" wrapText="1"/>
      <protection hidden="1"/>
    </xf>
    <xf numFmtId="0" fontId="25" fillId="0" borderId="0" xfId="0" applyFont="1" applyAlignment="1" applyProtection="1">
      <alignment horizontal="left" vertical="top"/>
      <protection hidden="1"/>
    </xf>
    <xf numFmtId="0" fontId="39" fillId="0" borderId="3" xfId="0" applyFont="1" applyBorder="1" applyAlignment="1" applyProtection="1">
      <alignment horizontal="center" vertical="center"/>
      <protection hidden="1"/>
    </xf>
    <xf numFmtId="170" fontId="10" fillId="8" borderId="7" xfId="0" applyNumberFormat="1" applyFont="1" applyFill="1" applyBorder="1" applyAlignment="1" applyProtection="1">
      <alignment horizontal="right" vertical="center"/>
      <protection locked="0"/>
    </xf>
    <xf numFmtId="170" fontId="10" fillId="8" borderId="3" xfId="0" applyNumberFormat="1" applyFont="1" applyFill="1" applyBorder="1" applyAlignment="1" applyProtection="1">
      <alignment horizontal="right" vertical="center"/>
      <protection locked="0"/>
    </xf>
    <xf numFmtId="170" fontId="10" fillId="8" borderId="4" xfId="0" applyNumberFormat="1" applyFont="1" applyFill="1" applyBorder="1" applyAlignment="1" applyProtection="1">
      <alignment horizontal="right" vertical="center"/>
      <protection locked="0"/>
    </xf>
    <xf numFmtId="0" fontId="10" fillId="8" borderId="0" xfId="0" applyFont="1" applyFill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hidden="1"/>
    </xf>
    <xf numFmtId="0" fontId="25" fillId="3" borderId="2" xfId="0" applyFont="1" applyFill="1" applyBorder="1" applyAlignment="1" applyProtection="1">
      <alignment horizontal="left" vertical="top" wrapText="1"/>
      <protection hidden="1"/>
    </xf>
    <xf numFmtId="0" fontId="35" fillId="3" borderId="2" xfId="0" applyFont="1" applyFill="1" applyBorder="1" applyAlignment="1" applyProtection="1">
      <alignment horizontal="right" vertical="top"/>
      <protection hidden="1"/>
    </xf>
    <xf numFmtId="0" fontId="70" fillId="0" borderId="0" xfId="0" applyFont="1" applyAlignment="1" applyProtection="1">
      <alignment horizontal="left" vertical="top" wrapText="1"/>
      <protection hidden="1"/>
    </xf>
    <xf numFmtId="170" fontId="84" fillId="11" borderId="87" xfId="0" applyNumberFormat="1" applyFont="1" applyFill="1" applyBorder="1" applyAlignment="1" applyProtection="1">
      <alignment horizontal="right" vertical="center"/>
      <protection hidden="1"/>
    </xf>
    <xf numFmtId="170" fontId="84" fillId="11" borderId="88" xfId="0" applyNumberFormat="1" applyFont="1" applyFill="1" applyBorder="1" applyAlignment="1" applyProtection="1">
      <alignment horizontal="right" vertical="center"/>
      <protection hidden="1"/>
    </xf>
    <xf numFmtId="170" fontId="84" fillId="11" borderId="89" xfId="0" applyNumberFormat="1" applyFont="1" applyFill="1" applyBorder="1" applyAlignment="1" applyProtection="1">
      <alignment horizontal="right" vertical="center"/>
      <protection hidden="1"/>
    </xf>
    <xf numFmtId="0" fontId="73" fillId="8" borderId="1" xfId="0" applyFont="1" applyFill="1" applyBorder="1" applyAlignment="1" applyProtection="1">
      <alignment horizontal="center" vertical="center" wrapText="1"/>
      <protection locked="0" hidden="1"/>
    </xf>
    <xf numFmtId="14" fontId="10" fillId="8" borderId="7" xfId="0" applyNumberFormat="1" applyFont="1" applyFill="1" applyBorder="1" applyAlignment="1" applyProtection="1">
      <alignment horizontal="left" vertical="center" shrinkToFit="1"/>
      <protection locked="0" hidden="1"/>
    </xf>
    <xf numFmtId="14" fontId="0" fillId="8" borderId="3" xfId="0" applyNumberFormat="1" applyFill="1" applyBorder="1" applyAlignment="1" applyProtection="1">
      <alignment horizontal="left" vertical="center" shrinkToFit="1"/>
      <protection locked="0" hidden="1"/>
    </xf>
    <xf numFmtId="14" fontId="0" fillId="8" borderId="4" xfId="0" applyNumberFormat="1" applyFill="1" applyBorder="1" applyAlignment="1" applyProtection="1">
      <alignment horizontal="left" vertical="center" shrinkToFit="1"/>
      <protection locked="0" hidden="1"/>
    </xf>
    <xf numFmtId="0" fontId="10" fillId="8" borderId="7" xfId="0" applyFont="1" applyFill="1" applyBorder="1" applyAlignment="1" applyProtection="1">
      <alignment horizontal="left" vertical="center" shrinkToFit="1"/>
      <protection locked="0" hidden="1"/>
    </xf>
    <xf numFmtId="0" fontId="0" fillId="8" borderId="3" xfId="0" applyFill="1" applyBorder="1" applyAlignment="1" applyProtection="1">
      <alignment horizontal="left" vertical="center" shrinkToFit="1"/>
      <protection locked="0" hidden="1"/>
    </xf>
    <xf numFmtId="0" fontId="0" fillId="8" borderId="4" xfId="0" applyFill="1" applyBorder="1" applyAlignment="1" applyProtection="1">
      <alignment horizontal="left" vertical="center" shrinkToFit="1"/>
      <protection locked="0" hidden="1"/>
    </xf>
    <xf numFmtId="188" fontId="10" fillId="8" borderId="7" xfId="0" applyNumberFormat="1" applyFont="1" applyFill="1" applyBorder="1" applyAlignment="1" applyProtection="1">
      <alignment horizontal="left" vertical="center" shrinkToFit="1"/>
      <protection locked="0" hidden="1"/>
    </xf>
    <xf numFmtId="188" fontId="10" fillId="8" borderId="3" xfId="0" applyNumberFormat="1" applyFont="1" applyFill="1" applyBorder="1" applyAlignment="1" applyProtection="1">
      <alignment horizontal="left" vertical="center" shrinkToFit="1"/>
      <protection locked="0" hidden="1"/>
    </xf>
    <xf numFmtId="188" fontId="10" fillId="8" borderId="4" xfId="0" applyNumberFormat="1" applyFont="1" applyFill="1" applyBorder="1" applyAlignment="1" applyProtection="1">
      <alignment horizontal="left" vertical="center" shrinkToFit="1"/>
      <protection locked="0" hidden="1"/>
    </xf>
    <xf numFmtId="14" fontId="10" fillId="8" borderId="3" xfId="0" applyNumberFormat="1" applyFont="1" applyFill="1" applyBorder="1" applyAlignment="1" applyProtection="1">
      <alignment horizontal="left" vertical="center" shrinkToFit="1"/>
      <protection locked="0" hidden="1"/>
    </xf>
    <xf numFmtId="14" fontId="10" fillId="8" borderId="4" xfId="0" applyNumberFormat="1" applyFont="1" applyFill="1" applyBorder="1" applyAlignment="1" applyProtection="1">
      <alignment horizontal="left" vertical="center" shrinkToFit="1"/>
      <protection locked="0" hidden="1"/>
    </xf>
    <xf numFmtId="176" fontId="15" fillId="0" borderId="0" xfId="0" applyNumberFormat="1" applyFont="1" applyAlignment="1" applyProtection="1">
      <alignment horizontal="center" vertical="center"/>
      <protection hidden="1"/>
    </xf>
    <xf numFmtId="170" fontId="10" fillId="8" borderId="17" xfId="0" applyNumberFormat="1" applyFont="1" applyFill="1" applyBorder="1" applyAlignment="1" applyProtection="1">
      <alignment horizontal="right" vertical="center"/>
      <protection locked="0"/>
    </xf>
    <xf numFmtId="170" fontId="10" fillId="8" borderId="8" xfId="0" applyNumberFormat="1" applyFont="1" applyFill="1" applyBorder="1" applyAlignment="1" applyProtection="1">
      <alignment horizontal="right" vertical="center"/>
      <protection locked="0"/>
    </xf>
    <xf numFmtId="170" fontId="10" fillId="8" borderId="25" xfId="0" applyNumberFormat="1" applyFont="1" applyFill="1" applyBorder="1" applyAlignment="1" applyProtection="1">
      <alignment horizontal="right" vertical="center"/>
      <protection locked="0"/>
    </xf>
    <xf numFmtId="0" fontId="10" fillId="8" borderId="7" xfId="0" applyFont="1" applyFill="1" applyBorder="1" applyAlignment="1" applyProtection="1">
      <alignment horizontal="left" vertical="center"/>
      <protection locked="0" hidden="1"/>
    </xf>
    <xf numFmtId="0" fontId="10" fillId="8" borderId="3" xfId="0" applyFont="1" applyFill="1" applyBorder="1" applyAlignment="1" applyProtection="1">
      <alignment horizontal="left" vertical="center"/>
      <protection locked="0" hidden="1"/>
    </xf>
    <xf numFmtId="0" fontId="10" fillId="8" borderId="4" xfId="0" applyFont="1" applyFill="1" applyBorder="1" applyAlignment="1" applyProtection="1">
      <alignment horizontal="left" vertical="center"/>
      <protection locked="0" hidden="1"/>
    </xf>
    <xf numFmtId="0" fontId="10" fillId="8" borderId="3" xfId="0" applyFont="1" applyFill="1" applyBorder="1" applyAlignment="1" applyProtection="1">
      <alignment horizontal="left" vertical="center" shrinkToFit="1"/>
      <protection locked="0" hidden="1"/>
    </xf>
    <xf numFmtId="0" fontId="10" fillId="8" borderId="4" xfId="0" applyFont="1" applyFill="1" applyBorder="1" applyAlignment="1" applyProtection="1">
      <alignment horizontal="left" vertical="center" shrinkToFit="1"/>
      <protection locked="0" hidden="1"/>
    </xf>
    <xf numFmtId="0" fontId="90" fillId="0" borderId="2" xfId="0" applyFont="1" applyBorder="1" applyAlignment="1" applyProtection="1">
      <alignment horizontal="left"/>
      <protection hidden="1"/>
    </xf>
    <xf numFmtId="0" fontId="90" fillId="0" borderId="2" xfId="0" applyFont="1" applyBorder="1" applyAlignment="1">
      <alignment horizontal="left"/>
    </xf>
    <xf numFmtId="0" fontId="90" fillId="3" borderId="3" xfId="0" applyFont="1" applyFill="1" applyBorder="1" applyAlignment="1" applyProtection="1">
      <alignment horizontal="left" shrinkToFit="1"/>
      <protection locked="0"/>
    </xf>
    <xf numFmtId="0" fontId="90" fillId="3" borderId="3" xfId="0" applyFont="1" applyFill="1" applyBorder="1" applyAlignment="1">
      <alignment horizontal="left" shrinkToFit="1"/>
    </xf>
    <xf numFmtId="14" fontId="10" fillId="8" borderId="7" xfId="7" applyNumberFormat="1" applyFont="1" applyFill="1" applyBorder="1" applyAlignment="1" applyProtection="1">
      <alignment horizontal="center" vertical="center" shrinkToFit="1"/>
      <protection locked="0" hidden="1"/>
    </xf>
    <xf numFmtId="14" fontId="10" fillId="8" borderId="3" xfId="7" applyNumberFormat="1" applyFont="1" applyFill="1" applyBorder="1" applyAlignment="1" applyProtection="1">
      <alignment horizontal="center" vertical="center" shrinkToFit="1"/>
      <protection locked="0" hidden="1"/>
    </xf>
    <xf numFmtId="14" fontId="10" fillId="8" borderId="4" xfId="7" applyNumberFormat="1" applyFont="1" applyFill="1" applyBorder="1" applyAlignment="1" applyProtection="1">
      <alignment horizontal="center" vertical="center" shrinkToFit="1"/>
      <protection locked="0" hidden="1"/>
    </xf>
    <xf numFmtId="0" fontId="90" fillId="3" borderId="0" xfId="0" applyFont="1" applyFill="1" applyAlignment="1">
      <alignment horizontal="left" shrinkToFit="1"/>
    </xf>
    <xf numFmtId="0" fontId="10" fillId="8" borderId="7" xfId="5" applyNumberFormat="1" applyFont="1" applyFill="1" applyBorder="1" applyAlignment="1" applyProtection="1">
      <alignment horizontal="center" vertical="center"/>
      <protection locked="0"/>
    </xf>
    <xf numFmtId="0" fontId="10" fillId="8" borderId="4" xfId="5" applyNumberFormat="1" applyFont="1" applyFill="1" applyBorder="1" applyAlignment="1" applyProtection="1">
      <alignment horizontal="center" vertical="center"/>
      <protection locked="0"/>
    </xf>
    <xf numFmtId="0" fontId="0" fillId="8" borderId="7" xfId="0" applyFill="1" applyBorder="1" applyAlignment="1" applyProtection="1">
      <alignment horizontal="center" vertical="center"/>
      <protection locked="0"/>
    </xf>
    <xf numFmtId="0" fontId="0" fillId="8" borderId="3" xfId="0" applyFill="1" applyBorder="1" applyAlignment="1" applyProtection="1">
      <alignment horizontal="center" vertical="center"/>
      <protection locked="0"/>
    </xf>
    <xf numFmtId="0" fontId="0" fillId="8" borderId="4" xfId="0" applyFill="1" applyBorder="1" applyAlignment="1" applyProtection="1">
      <alignment horizontal="center" vertical="center"/>
      <protection locked="0"/>
    </xf>
    <xf numFmtId="10" fontId="10" fillId="8" borderId="7" xfId="5" applyNumberFormat="1" applyFont="1" applyFill="1" applyBorder="1" applyAlignment="1" applyProtection="1">
      <alignment horizontal="right" vertical="center"/>
      <protection locked="0"/>
    </xf>
    <xf numFmtId="10" fontId="10" fillId="8" borderId="3" xfId="5" applyNumberFormat="1" applyFont="1" applyFill="1" applyBorder="1" applyAlignment="1" applyProtection="1">
      <alignment horizontal="right" vertical="center"/>
      <protection locked="0"/>
    </xf>
    <xf numFmtId="10" fontId="10" fillId="8" borderId="4" xfId="5" applyNumberFormat="1" applyFont="1" applyFill="1" applyBorder="1" applyAlignment="1" applyProtection="1">
      <alignment horizontal="right" vertical="center"/>
      <protection locked="0"/>
    </xf>
    <xf numFmtId="10" fontId="10" fillId="0" borderId="8" xfId="5" applyNumberFormat="1" applyFont="1" applyFill="1" applyBorder="1" applyAlignment="1" applyProtection="1">
      <alignment horizontal="right" vertical="center"/>
      <protection locked="0"/>
    </xf>
    <xf numFmtId="0" fontId="0" fillId="8" borderId="0" xfId="0" applyFill="1" applyAlignment="1" applyProtection="1">
      <alignment horizontal="center" vertical="center"/>
      <protection locked="0"/>
    </xf>
    <xf numFmtId="170" fontId="10" fillId="0" borderId="7" xfId="0" applyNumberFormat="1" applyFont="1" applyBorder="1" applyAlignment="1" applyProtection="1">
      <alignment horizontal="right" vertical="center"/>
      <protection hidden="1"/>
    </xf>
    <xf numFmtId="170" fontId="10" fillId="0" borderId="3" xfId="0" applyNumberFormat="1" applyFont="1" applyBorder="1" applyAlignment="1" applyProtection="1">
      <alignment horizontal="right" vertical="center"/>
      <protection hidden="1"/>
    </xf>
    <xf numFmtId="170" fontId="10" fillId="0" borderId="4" xfId="0" applyNumberFormat="1" applyFont="1" applyBorder="1" applyAlignment="1" applyProtection="1">
      <alignment horizontal="right" vertical="center"/>
      <protection hidden="1"/>
    </xf>
    <xf numFmtId="0" fontId="10" fillId="0" borderId="7" xfId="0" applyFont="1" applyBorder="1" applyAlignment="1" applyProtection="1">
      <alignment horizontal="center" vertical="center"/>
      <protection hidden="1"/>
    </xf>
    <xf numFmtId="0" fontId="10" fillId="0" borderId="3" xfId="0" applyFont="1" applyBorder="1" applyAlignment="1" applyProtection="1">
      <alignment horizontal="center" vertical="center"/>
      <protection hidden="1"/>
    </xf>
    <xf numFmtId="0" fontId="10" fillId="0" borderId="4" xfId="0" applyFont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9" fillId="8" borderId="7" xfId="0" applyFont="1" applyFill="1" applyBorder="1" applyAlignment="1" applyProtection="1">
      <alignment horizontal="center" vertical="center"/>
      <protection locked="0"/>
    </xf>
    <xf numFmtId="0" fontId="19" fillId="8" borderId="3" xfId="0" applyFont="1" applyFill="1" applyBorder="1" applyAlignment="1" applyProtection="1">
      <alignment horizontal="center" vertical="center"/>
      <protection locked="0"/>
    </xf>
    <xf numFmtId="0" fontId="19" fillId="8" borderId="4" xfId="0" applyFont="1" applyFill="1" applyBorder="1" applyAlignment="1" applyProtection="1">
      <alignment horizontal="center" vertical="center"/>
      <protection locked="0"/>
    </xf>
    <xf numFmtId="0" fontId="0" fillId="8" borderId="0" xfId="0" applyFill="1" applyAlignment="1" applyProtection="1">
      <alignment horizontal="center" vertical="center"/>
      <protection locked="0" hidden="1"/>
    </xf>
    <xf numFmtId="0" fontId="51" fillId="0" borderId="75" xfId="0" applyFont="1" applyBorder="1" applyAlignment="1" applyProtection="1">
      <alignment horizontal="left"/>
      <protection hidden="1"/>
    </xf>
    <xf numFmtId="0" fontId="51" fillId="0" borderId="76" xfId="0" applyFont="1" applyBorder="1" applyAlignment="1" applyProtection="1">
      <alignment horizontal="left"/>
      <protection hidden="1"/>
    </xf>
    <xf numFmtId="0" fontId="0" fillId="0" borderId="72" xfId="0" applyBorder="1" applyAlignment="1" applyProtection="1">
      <alignment horizontal="center" vertical="center"/>
      <protection hidden="1"/>
    </xf>
    <xf numFmtId="175" fontId="37" fillId="0" borderId="72" xfId="0" applyNumberFormat="1" applyFont="1" applyBorder="1" applyAlignment="1" applyProtection="1">
      <alignment horizontal="left" vertical="center"/>
      <protection hidden="1"/>
    </xf>
    <xf numFmtId="175" fontId="37" fillId="0" borderId="73" xfId="0" applyNumberFormat="1" applyFont="1" applyBorder="1" applyAlignment="1" applyProtection="1">
      <alignment horizontal="left" vertical="center"/>
      <protection hidden="1"/>
    </xf>
    <xf numFmtId="14" fontId="50" fillId="0" borderId="75" xfId="0" applyNumberFormat="1" applyFont="1" applyBorder="1" applyAlignment="1" applyProtection="1">
      <alignment horizontal="center"/>
      <protection hidden="1"/>
    </xf>
    <xf numFmtId="0" fontId="64" fillId="5" borderId="0" xfId="0" applyFont="1" applyFill="1" applyAlignment="1">
      <alignment horizontal="center" vertical="center"/>
    </xf>
    <xf numFmtId="0" fontId="60" fillId="5" borderId="0" xfId="0" applyFont="1" applyFill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65" fillId="5" borderId="0" xfId="0" applyFont="1" applyFill="1" applyAlignment="1">
      <alignment horizontal="center" vertical="center"/>
    </xf>
    <xf numFmtId="0" fontId="38" fillId="5" borderId="0" xfId="0" applyFont="1" applyFill="1" applyAlignment="1">
      <alignment horizontal="center" vertical="center"/>
    </xf>
    <xf numFmtId="0" fontId="19" fillId="5" borderId="0" xfId="0" applyFont="1" applyFill="1" applyAlignment="1">
      <alignment horizontal="left" vertical="center"/>
    </xf>
    <xf numFmtId="0" fontId="0" fillId="11" borderId="0" xfId="0" applyFill="1" applyAlignment="1">
      <alignment horizontal="left" vertical="center" indent="1"/>
    </xf>
    <xf numFmtId="0" fontId="0" fillId="11" borderId="0" xfId="0" applyFill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19" fillId="11" borderId="0" xfId="0" applyFont="1" applyFill="1" applyAlignment="1">
      <alignment horizontal="left" vertical="center"/>
    </xf>
    <xf numFmtId="14" fontId="10" fillId="11" borderId="0" xfId="0" applyNumberFormat="1" applyFont="1" applyFill="1" applyAlignment="1">
      <alignment horizontal="left" vertical="center" indent="1"/>
    </xf>
    <xf numFmtId="0" fontId="0" fillId="7" borderId="0" xfId="0" applyFill="1" applyAlignment="1">
      <alignment horizontal="center"/>
    </xf>
    <xf numFmtId="0" fontId="0" fillId="6" borderId="86" xfId="0" applyFill="1" applyBorder="1" applyAlignment="1">
      <alignment horizontal="center" vertical="center"/>
    </xf>
    <xf numFmtId="0" fontId="0" fillId="11" borderId="17" xfId="0" applyFill="1" applyBorder="1" applyAlignment="1">
      <alignment horizontal="left"/>
    </xf>
    <xf numFmtId="0" fontId="0" fillId="11" borderId="8" xfId="0" applyFill="1" applyBorder="1" applyAlignment="1">
      <alignment horizontal="left"/>
    </xf>
    <xf numFmtId="0" fontId="0" fillId="11" borderId="25" xfId="0" applyFill="1" applyBorder="1" applyAlignment="1">
      <alignment horizontal="left"/>
    </xf>
    <xf numFmtId="0" fontId="0" fillId="11" borderId="5" xfId="0" applyFill="1" applyBorder="1" applyAlignment="1">
      <alignment horizontal="left"/>
    </xf>
    <xf numFmtId="0" fontId="0" fillId="11" borderId="2" xfId="0" applyFill="1" applyBorder="1" applyAlignment="1">
      <alignment horizontal="left"/>
    </xf>
    <xf numFmtId="0" fontId="0" fillId="11" borderId="6" xfId="0" applyFill="1" applyBorder="1" applyAlignment="1">
      <alignment horizontal="left"/>
    </xf>
    <xf numFmtId="0" fontId="10" fillId="21" borderId="7" xfId="0" applyFont="1" applyFill="1" applyBorder="1" applyAlignment="1">
      <alignment horizontal="left"/>
    </xf>
    <xf numFmtId="0" fontId="0" fillId="21" borderId="3" xfId="0" applyFill="1" applyBorder="1" applyAlignment="1">
      <alignment horizontal="left"/>
    </xf>
    <xf numFmtId="0" fontId="0" fillId="21" borderId="4" xfId="0" applyFill="1" applyBorder="1" applyAlignment="1">
      <alignment horizontal="left"/>
    </xf>
    <xf numFmtId="0" fontId="10" fillId="11" borderId="7" xfId="0" applyFont="1" applyFill="1" applyBorder="1" applyAlignment="1">
      <alignment horizontal="left"/>
    </xf>
    <xf numFmtId="0" fontId="0" fillId="11" borderId="3" xfId="0" applyFill="1" applyBorder="1" applyAlignment="1">
      <alignment horizontal="left"/>
    </xf>
    <xf numFmtId="0" fontId="0" fillId="11" borderId="4" xfId="0" applyFill="1" applyBorder="1" applyAlignment="1">
      <alignment horizontal="left"/>
    </xf>
    <xf numFmtId="0" fontId="10" fillId="21" borderId="3" xfId="0" applyFont="1" applyFill="1" applyBorder="1" applyAlignment="1">
      <alignment horizontal="left"/>
    </xf>
    <xf numFmtId="0" fontId="10" fillId="21" borderId="4" xfId="0" applyFont="1" applyFill="1" applyBorder="1" applyAlignment="1">
      <alignment horizontal="left"/>
    </xf>
    <xf numFmtId="0" fontId="10" fillId="6" borderId="7" xfId="0" applyFont="1" applyFill="1" applyBorder="1" applyAlignment="1">
      <alignment horizontal="left"/>
    </xf>
    <xf numFmtId="0" fontId="10" fillId="6" borderId="3" xfId="0" applyFont="1" applyFill="1" applyBorder="1" applyAlignment="1">
      <alignment horizontal="left"/>
    </xf>
    <xf numFmtId="0" fontId="10" fillId="6" borderId="4" xfId="0" applyFont="1" applyFill="1" applyBorder="1" applyAlignment="1">
      <alignment horizontal="left"/>
    </xf>
    <xf numFmtId="0" fontId="0" fillId="6" borderId="7" xfId="0" applyFill="1" applyBorder="1" applyAlignment="1">
      <alignment horizontal="left"/>
    </xf>
    <xf numFmtId="0" fontId="0" fillId="6" borderId="3" xfId="0" applyFill="1" applyBorder="1" applyAlignment="1">
      <alignment horizontal="left"/>
    </xf>
    <xf numFmtId="0" fontId="0" fillId="6" borderId="4" xfId="0" applyFill="1" applyBorder="1" applyAlignment="1">
      <alignment horizontal="left"/>
    </xf>
    <xf numFmtId="0" fontId="10" fillId="9" borderId="7" xfId="0" applyFont="1" applyFill="1" applyBorder="1" applyAlignment="1">
      <alignment horizontal="left"/>
    </xf>
    <xf numFmtId="0" fontId="10" fillId="9" borderId="3" xfId="0" applyFont="1" applyFill="1" applyBorder="1" applyAlignment="1">
      <alignment horizontal="left"/>
    </xf>
    <xf numFmtId="0" fontId="10" fillId="9" borderId="4" xfId="0" applyFont="1" applyFill="1" applyBorder="1" applyAlignment="1">
      <alignment horizontal="left"/>
    </xf>
    <xf numFmtId="0" fontId="0" fillId="9" borderId="3" xfId="0" applyFill="1" applyBorder="1" applyAlignment="1">
      <alignment horizontal="left"/>
    </xf>
    <xf numFmtId="0" fontId="0" fillId="9" borderId="4" xfId="0" applyFill="1" applyBorder="1" applyAlignment="1">
      <alignment horizontal="left"/>
    </xf>
    <xf numFmtId="0" fontId="19" fillId="6" borderId="7" xfId="0" applyFont="1" applyFill="1" applyBorder="1" applyAlignment="1">
      <alignment horizontal="left"/>
    </xf>
    <xf numFmtId="0" fontId="0" fillId="11" borderId="7" xfId="0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0" fillId="11" borderId="3" xfId="0" applyFont="1" applyFill="1" applyBorder="1" applyAlignment="1">
      <alignment horizontal="left"/>
    </xf>
    <xf numFmtId="0" fontId="10" fillId="11" borderId="4" xfId="0" applyFont="1" applyFill="1" applyBorder="1" applyAlignment="1">
      <alignment horizontal="left"/>
    </xf>
    <xf numFmtId="0" fontId="10" fillId="6" borderId="7" xfId="0" applyFont="1" applyFill="1" applyBorder="1" applyAlignment="1">
      <alignment horizontal="left" indent="1"/>
    </xf>
    <xf numFmtId="0" fontId="10" fillId="6" borderId="3" xfId="0" applyFont="1" applyFill="1" applyBorder="1" applyAlignment="1">
      <alignment horizontal="left" indent="1"/>
    </xf>
    <xf numFmtId="0" fontId="10" fillId="6" borderId="4" xfId="0" applyFont="1" applyFill="1" applyBorder="1" applyAlignment="1">
      <alignment horizontal="left" indent="1"/>
    </xf>
    <xf numFmtId="0" fontId="0" fillId="32" borderId="7" xfId="0" applyFill="1" applyBorder="1" applyAlignment="1">
      <alignment horizontal="left" vertical="center"/>
    </xf>
    <xf numFmtId="0" fontId="0" fillId="32" borderId="3" xfId="0" applyFill="1" applyBorder="1" applyAlignment="1">
      <alignment horizontal="left" vertical="center"/>
    </xf>
    <xf numFmtId="0" fontId="0" fillId="32" borderId="4" xfId="0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0" fillId="21" borderId="7" xfId="0" applyFont="1" applyFill="1" applyBorder="1" applyAlignment="1">
      <alignment horizontal="left" vertical="center"/>
    </xf>
    <xf numFmtId="0" fontId="10" fillId="21" borderId="3" xfId="0" applyFont="1" applyFill="1" applyBorder="1" applyAlignment="1">
      <alignment horizontal="left" vertical="center"/>
    </xf>
    <xf numFmtId="0" fontId="10" fillId="21" borderId="4" xfId="0" applyFont="1" applyFill="1" applyBorder="1" applyAlignment="1">
      <alignment horizontal="left" vertical="center"/>
    </xf>
    <xf numFmtId="0" fontId="0" fillId="21" borderId="3" xfId="0" applyFill="1" applyBorder="1" applyAlignment="1">
      <alignment horizontal="left" vertical="center"/>
    </xf>
    <xf numFmtId="0" fontId="0" fillId="21" borderId="4" xfId="0" applyFill="1" applyBorder="1" applyAlignment="1">
      <alignment horizontal="left" vertical="center"/>
    </xf>
    <xf numFmtId="0" fontId="10" fillId="36" borderId="7" xfId="0" applyFont="1" applyFill="1" applyBorder="1" applyAlignment="1">
      <alignment horizontal="left" vertical="center"/>
    </xf>
    <xf numFmtId="0" fontId="10" fillId="36" borderId="3" xfId="0" applyFont="1" applyFill="1" applyBorder="1" applyAlignment="1">
      <alignment horizontal="left" vertical="center"/>
    </xf>
    <xf numFmtId="0" fontId="10" fillId="36" borderId="4" xfId="0" applyFont="1" applyFill="1" applyBorder="1" applyAlignment="1">
      <alignment horizontal="left" vertical="center"/>
    </xf>
    <xf numFmtId="0" fontId="10" fillId="31" borderId="7" xfId="0" applyFont="1" applyFill="1" applyBorder="1" applyAlignment="1">
      <alignment horizontal="left" vertical="center" indent="1"/>
    </xf>
    <xf numFmtId="0" fontId="10" fillId="31" borderId="3" xfId="0" applyFont="1" applyFill="1" applyBorder="1" applyAlignment="1">
      <alignment horizontal="left" vertical="center" indent="1"/>
    </xf>
    <xf numFmtId="0" fontId="10" fillId="31" borderId="4" xfId="0" applyFont="1" applyFill="1" applyBorder="1" applyAlignment="1">
      <alignment horizontal="left" vertical="center" indent="1"/>
    </xf>
    <xf numFmtId="0" fontId="0" fillId="31" borderId="3" xfId="0" applyFill="1" applyBorder="1" applyAlignment="1">
      <alignment horizontal="left" vertical="center" indent="1"/>
    </xf>
    <xf numFmtId="0" fontId="0" fillId="31" borderId="4" xfId="0" applyFill="1" applyBorder="1" applyAlignment="1">
      <alignment horizontal="left" vertical="center" indent="1"/>
    </xf>
    <xf numFmtId="0" fontId="10" fillId="32" borderId="7" xfId="0" applyFont="1" applyFill="1" applyBorder="1" applyAlignment="1">
      <alignment horizontal="left" vertical="center"/>
    </xf>
    <xf numFmtId="0" fontId="13" fillId="11" borderId="1" xfId="0" applyFont="1" applyFill="1" applyBorder="1" applyAlignment="1">
      <alignment horizontal="left" vertical="center" indent="1"/>
    </xf>
    <xf numFmtId="2" fontId="13" fillId="0" borderId="1" xfId="0" applyNumberFormat="1" applyFont="1" applyBorder="1" applyAlignment="1">
      <alignment horizontal="center"/>
    </xf>
    <xf numFmtId="0" fontId="70" fillId="5" borderId="1" xfId="0" applyFont="1" applyFill="1" applyBorder="1" applyAlignment="1">
      <alignment horizontal="center"/>
    </xf>
    <xf numFmtId="0" fontId="70" fillId="5" borderId="1" xfId="0" applyFont="1" applyFill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0" fontId="59" fillId="5" borderId="1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11" borderId="7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25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77" fillId="0" borderId="0" xfId="0" applyFont="1" applyAlignment="1" applyProtection="1">
      <alignment horizontal="center" textRotation="90"/>
      <protection hidden="1"/>
    </xf>
    <xf numFmtId="2" fontId="86" fillId="0" borderId="2" xfId="0" applyNumberFormat="1" applyFont="1" applyBorder="1" applyAlignment="1" applyProtection="1">
      <alignment horizontal="center"/>
      <protection hidden="1"/>
    </xf>
    <xf numFmtId="0" fontId="46" fillId="3" borderId="0" xfId="0" applyFont="1" applyFill="1" applyAlignment="1" applyProtection="1">
      <alignment horizontal="left" vertical="center"/>
      <protection hidden="1"/>
    </xf>
    <xf numFmtId="0" fontId="2" fillId="2" borderId="17" xfId="0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2" borderId="25" xfId="0" applyFont="1" applyFill="1" applyBorder="1" applyAlignment="1" applyProtection="1">
      <alignment horizontal="left" vertical="center"/>
      <protection locked="0"/>
    </xf>
    <xf numFmtId="0" fontId="2" fillId="2" borderId="9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hidden="1"/>
    </xf>
    <xf numFmtId="0" fontId="4" fillId="0" borderId="3" xfId="0" applyFont="1" applyBorder="1" applyAlignment="1" applyProtection="1">
      <alignment horizontal="left" vertical="center"/>
      <protection hidden="1"/>
    </xf>
    <xf numFmtId="0" fontId="4" fillId="0" borderId="4" xfId="0" applyFont="1" applyBorder="1" applyAlignment="1" applyProtection="1">
      <alignment horizontal="left" vertical="center"/>
      <protection hidden="1"/>
    </xf>
    <xf numFmtId="168" fontId="5" fillId="0" borderId="9" xfId="0" applyNumberFormat="1" applyFont="1" applyBorder="1" applyAlignment="1" applyProtection="1">
      <alignment horizontal="center" vertical="center"/>
      <protection hidden="1"/>
    </xf>
    <xf numFmtId="168" fontId="5" fillId="0" borderId="10" xfId="0" applyNumberFormat="1" applyFont="1" applyBorder="1" applyAlignment="1" applyProtection="1">
      <alignment horizontal="center" vertical="center"/>
      <protection hidden="1"/>
    </xf>
    <xf numFmtId="0" fontId="5" fillId="0" borderId="17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5" fillId="0" borderId="25" xfId="0" applyFont="1" applyBorder="1" applyAlignment="1" applyProtection="1">
      <alignment horizontal="center" vertical="center"/>
      <protection hidden="1"/>
    </xf>
    <xf numFmtId="169" fontId="47" fillId="3" borderId="3" xfId="0" applyNumberFormat="1" applyFont="1" applyFill="1" applyBorder="1" applyAlignment="1" applyProtection="1">
      <alignment horizontal="right" vertical="center"/>
      <protection hidden="1"/>
    </xf>
    <xf numFmtId="169" fontId="47" fillId="3" borderId="4" xfId="0" applyNumberFormat="1" applyFont="1" applyFill="1" applyBorder="1" applyAlignment="1" applyProtection="1">
      <alignment horizontal="right" vertical="center"/>
      <protection hidden="1"/>
    </xf>
    <xf numFmtId="10" fontId="23" fillId="0" borderId="2" xfId="0" applyNumberFormat="1" applyFont="1" applyBorder="1" applyAlignment="1" applyProtection="1">
      <alignment horizontal="center"/>
      <protection hidden="1"/>
    </xf>
    <xf numFmtId="197" fontId="86" fillId="0" borderId="2" xfId="0" applyNumberFormat="1" applyFont="1" applyBorder="1" applyAlignment="1" applyProtection="1">
      <alignment horizontal="center"/>
      <protection hidden="1"/>
    </xf>
    <xf numFmtId="0" fontId="2" fillId="2" borderId="5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 applyProtection="1">
      <alignment horizontal="left" vertical="center"/>
      <protection locked="0"/>
    </xf>
    <xf numFmtId="0" fontId="2" fillId="8" borderId="7" xfId="0" applyFont="1" applyFill="1" applyBorder="1" applyAlignment="1" applyProtection="1">
      <alignment horizontal="center" vertical="center"/>
      <protection locked="0"/>
    </xf>
    <xf numFmtId="0" fontId="2" fillId="8" borderId="3" xfId="0" applyFont="1" applyFill="1" applyBorder="1" applyAlignment="1" applyProtection="1">
      <alignment horizontal="center" vertical="center"/>
      <protection locked="0"/>
    </xf>
    <xf numFmtId="0" fontId="2" fillId="8" borderId="4" xfId="0" applyFont="1" applyFill="1" applyBorder="1" applyAlignment="1" applyProtection="1">
      <alignment horizontal="center" vertical="center"/>
      <protection locked="0"/>
    </xf>
    <xf numFmtId="176" fontId="5" fillId="0" borderId="20" xfId="0" applyNumberFormat="1" applyFont="1" applyBorder="1" applyAlignment="1" applyProtection="1">
      <alignment horizontal="center" vertical="center"/>
      <protection hidden="1"/>
    </xf>
    <xf numFmtId="176" fontId="5" fillId="0" borderId="33" xfId="0" applyNumberFormat="1" applyFont="1" applyBorder="1" applyAlignment="1" applyProtection="1">
      <alignment horizontal="center" vertical="center"/>
      <protection hidden="1"/>
    </xf>
    <xf numFmtId="172" fontId="14" fillId="0" borderId="20" xfId="0" applyNumberFormat="1" applyFont="1" applyBorder="1" applyAlignment="1" applyProtection="1">
      <alignment horizontal="center" vertical="center"/>
      <protection hidden="1"/>
    </xf>
    <xf numFmtId="172" fontId="14" fillId="0" borderId="35" xfId="0" applyNumberFormat="1" applyFont="1" applyBorder="1" applyAlignment="1" applyProtection="1">
      <alignment horizontal="center" vertical="center"/>
      <protection hidden="1"/>
    </xf>
    <xf numFmtId="172" fontId="14" fillId="0" borderId="33" xfId="0" applyNumberFormat="1" applyFont="1" applyBorder="1" applyAlignment="1" applyProtection="1">
      <alignment horizontal="center" vertical="center"/>
      <protection hidden="1"/>
    </xf>
    <xf numFmtId="0" fontId="16" fillId="0" borderId="7" xfId="0" applyFont="1" applyBorder="1" applyAlignment="1" applyProtection="1">
      <alignment horizontal="left" vertical="center"/>
      <protection hidden="1"/>
    </xf>
    <xf numFmtId="0" fontId="16" fillId="0" borderId="3" xfId="0" applyFont="1" applyBorder="1" applyAlignment="1" applyProtection="1">
      <alignment horizontal="left" vertical="center"/>
      <protection hidden="1"/>
    </xf>
    <xf numFmtId="0" fontId="16" fillId="0" borderId="4" xfId="0" applyFont="1" applyBorder="1" applyAlignment="1" applyProtection="1">
      <alignment horizontal="left" vertical="center"/>
      <protection hidden="1"/>
    </xf>
    <xf numFmtId="192" fontId="16" fillId="0" borderId="7" xfId="0" applyNumberFormat="1" applyFont="1" applyBorder="1" applyAlignment="1" applyProtection="1">
      <alignment horizontal="center" vertical="center"/>
      <protection hidden="1"/>
    </xf>
    <xf numFmtId="192" fontId="16" fillId="0" borderId="4" xfId="0" applyNumberFormat="1" applyFont="1" applyBorder="1" applyAlignment="1" applyProtection="1">
      <alignment horizontal="center" vertical="center"/>
      <protection hidden="1"/>
    </xf>
    <xf numFmtId="170" fontId="2" fillId="3" borderId="24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22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24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22" xfId="0" applyNumberFormat="1" applyFont="1" applyFill="1" applyBorder="1" applyAlignment="1" applyProtection="1">
      <alignment horizontal="right" vertical="center" indent="1"/>
      <protection hidden="1"/>
    </xf>
    <xf numFmtId="0" fontId="2" fillId="0" borderId="34" xfId="0" applyFont="1" applyBorder="1" applyAlignment="1" applyProtection="1">
      <alignment horizontal="left" vertical="center" wrapText="1"/>
      <protection hidden="1"/>
    </xf>
    <xf numFmtId="0" fontId="2" fillId="0" borderId="31" xfId="0" applyFont="1" applyBorder="1" applyAlignment="1" applyProtection="1">
      <alignment horizontal="left" vertical="center" wrapText="1"/>
      <protection hidden="1"/>
    </xf>
    <xf numFmtId="170" fontId="2" fillId="11" borderId="34" xfId="0" applyNumberFormat="1" applyFont="1" applyFill="1" applyBorder="1" applyAlignment="1" applyProtection="1">
      <alignment horizontal="right" vertical="center" indent="1"/>
      <protection hidden="1"/>
    </xf>
    <xf numFmtId="170" fontId="2" fillId="11" borderId="31" xfId="0" applyNumberFormat="1" applyFont="1" applyFill="1" applyBorder="1" applyAlignment="1" applyProtection="1">
      <alignment horizontal="right" vertical="center" indent="1"/>
      <protection hidden="1"/>
    </xf>
    <xf numFmtId="170" fontId="2" fillId="11" borderId="92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92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31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92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31" xfId="0" applyNumberFormat="1" applyFont="1" applyFill="1" applyBorder="1" applyAlignment="1" applyProtection="1">
      <alignment horizontal="right" vertical="center" indent="1"/>
      <protection hidden="1"/>
    </xf>
    <xf numFmtId="0" fontId="2" fillId="0" borderId="23" xfId="0" applyFont="1" applyBorder="1" applyAlignment="1" applyProtection="1">
      <alignment horizontal="left" vertical="center" wrapText="1"/>
      <protection hidden="1"/>
    </xf>
    <xf numFmtId="0" fontId="2" fillId="0" borderId="22" xfId="0" applyFont="1" applyBorder="1" applyAlignment="1" applyProtection="1">
      <alignment horizontal="left" vertical="center" wrapText="1"/>
      <protection hidden="1"/>
    </xf>
    <xf numFmtId="170" fontId="2" fillId="11" borderId="23" xfId="0" applyNumberFormat="1" applyFont="1" applyFill="1" applyBorder="1" applyAlignment="1" applyProtection="1">
      <alignment horizontal="right" vertical="center" indent="1"/>
      <protection hidden="1"/>
    </xf>
    <xf numFmtId="170" fontId="2" fillId="11" borderId="22" xfId="0" applyNumberFormat="1" applyFont="1" applyFill="1" applyBorder="1" applyAlignment="1" applyProtection="1">
      <alignment horizontal="right" vertical="center" indent="1"/>
      <protection hidden="1"/>
    </xf>
    <xf numFmtId="170" fontId="2" fillId="11" borderId="24" xfId="0" applyNumberFormat="1" applyFont="1" applyFill="1" applyBorder="1" applyAlignment="1" applyProtection="1">
      <alignment horizontal="right" vertical="center" indent="1"/>
      <protection hidden="1"/>
    </xf>
    <xf numFmtId="0" fontId="6" fillId="3" borderId="24" xfId="0" applyFont="1" applyFill="1" applyBorder="1" applyAlignment="1" applyProtection="1">
      <alignment horizontal="left" vertical="center" indent="1"/>
      <protection hidden="1"/>
    </xf>
    <xf numFmtId="0" fontId="6" fillId="3" borderId="23" xfId="0" applyFont="1" applyFill="1" applyBorder="1" applyAlignment="1" applyProtection="1">
      <alignment horizontal="left" vertical="center" indent="1"/>
      <protection hidden="1"/>
    </xf>
    <xf numFmtId="198" fontId="2" fillId="3" borderId="29" xfId="0" applyNumberFormat="1" applyFont="1" applyFill="1" applyBorder="1" applyAlignment="1" applyProtection="1">
      <alignment horizontal="right" vertical="center" indent="1"/>
      <protection hidden="1"/>
    </xf>
    <xf numFmtId="198" fontId="2" fillId="3" borderId="21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24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22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24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22" xfId="0" applyNumberFormat="1" applyFont="1" applyFill="1" applyBorder="1" applyAlignment="1" applyProtection="1">
      <alignment horizontal="right" vertical="center" indent="1"/>
      <protection hidden="1"/>
    </xf>
    <xf numFmtId="0" fontId="6" fillId="0" borderId="24" xfId="0" applyFont="1" applyBorder="1" applyAlignment="1" applyProtection="1">
      <alignment horizontal="left" vertical="center" indent="1"/>
      <protection hidden="1"/>
    </xf>
    <xf numFmtId="0" fontId="6" fillId="0" borderId="23" xfId="0" applyFont="1" applyBorder="1" applyAlignment="1" applyProtection="1">
      <alignment horizontal="left" vertical="center" indent="1"/>
      <protection hidden="1"/>
    </xf>
    <xf numFmtId="166" fontId="2" fillId="3" borderId="29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21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29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21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23" xfId="0" applyNumberFormat="1" applyFont="1" applyFill="1" applyBorder="1" applyAlignment="1" applyProtection="1">
      <alignment horizontal="right" vertical="center" indent="1"/>
      <protection hidden="1"/>
    </xf>
    <xf numFmtId="0" fontId="6" fillId="0" borderId="24" xfId="0" applyFont="1" applyBorder="1" applyAlignment="1" applyProtection="1">
      <alignment horizontal="left" vertical="center" indent="2"/>
      <protection hidden="1"/>
    </xf>
    <xf numFmtId="0" fontId="6" fillId="0" borderId="23" xfId="0" applyFont="1" applyBorder="1" applyAlignment="1" applyProtection="1">
      <alignment horizontal="left" vertical="center" indent="2"/>
      <protection hidden="1"/>
    </xf>
    <xf numFmtId="166" fontId="2" fillId="0" borderId="92" xfId="0" applyNumberFormat="1" applyFont="1" applyBorder="1" applyAlignment="1" applyProtection="1">
      <alignment horizontal="center" vertical="center"/>
      <protection hidden="1"/>
    </xf>
    <xf numFmtId="166" fontId="2" fillId="0" borderId="34" xfId="0" applyNumberFormat="1" applyFont="1" applyBorder="1" applyAlignment="1" applyProtection="1">
      <alignment horizontal="center" vertical="center"/>
      <protection hidden="1"/>
    </xf>
    <xf numFmtId="166" fontId="2" fillId="0" borderId="31" xfId="0" applyNumberFormat="1" applyFont="1" applyBorder="1" applyAlignment="1" applyProtection="1">
      <alignment horizontal="center" vertical="center"/>
      <protection hidden="1"/>
    </xf>
    <xf numFmtId="166" fontId="2" fillId="0" borderId="5" xfId="0" applyNumberFormat="1" applyFont="1" applyBorder="1" applyAlignment="1" applyProtection="1">
      <alignment horizontal="center" vertical="center"/>
      <protection hidden="1"/>
    </xf>
    <xf numFmtId="166" fontId="2" fillId="0" borderId="2" xfId="0" applyNumberFormat="1" applyFont="1" applyBorder="1" applyAlignment="1" applyProtection="1">
      <alignment horizontal="center" vertical="center"/>
      <protection hidden="1"/>
    </xf>
    <xf numFmtId="166" fontId="2" fillId="0" borderId="6" xfId="0" applyNumberFormat="1" applyFont="1" applyBorder="1" applyAlignment="1" applyProtection="1">
      <alignment horizontal="center" vertical="center"/>
      <protection hidden="1"/>
    </xf>
    <xf numFmtId="166" fontId="25" fillId="0" borderId="8" xfId="0" applyNumberFormat="1" applyFont="1" applyBorder="1" applyAlignment="1" applyProtection="1">
      <alignment horizontal="right" vertical="center" indent="1"/>
      <protection hidden="1"/>
    </xf>
    <xf numFmtId="166" fontId="25" fillId="0" borderId="25" xfId="0" applyNumberFormat="1" applyFont="1" applyBorder="1" applyAlignment="1" applyProtection="1">
      <alignment horizontal="right" vertical="center" indent="1"/>
      <protection hidden="1"/>
    </xf>
    <xf numFmtId="166" fontId="25" fillId="0" borderId="0" xfId="0" applyNumberFormat="1" applyFont="1" applyAlignment="1" applyProtection="1">
      <alignment horizontal="right" vertical="center" indent="1"/>
      <protection hidden="1"/>
    </xf>
    <xf numFmtId="166" fontId="25" fillId="0" borderId="10" xfId="0" applyNumberFormat="1" applyFont="1" applyBorder="1" applyAlignment="1" applyProtection="1">
      <alignment horizontal="right" vertical="center" indent="1"/>
      <protection hidden="1"/>
    </xf>
    <xf numFmtId="166" fontId="2" fillId="0" borderId="8" xfId="0" applyNumberFormat="1" applyFont="1" applyBorder="1" applyAlignment="1" applyProtection="1">
      <alignment horizontal="center" vertical="center"/>
      <protection hidden="1"/>
    </xf>
    <xf numFmtId="166" fontId="2" fillId="0" borderId="25" xfId="0" applyNumberFormat="1" applyFont="1" applyBorder="1" applyAlignment="1" applyProtection="1">
      <alignment horizontal="center" vertical="center"/>
      <protection hidden="1"/>
    </xf>
    <xf numFmtId="0" fontId="22" fillId="0" borderId="17" xfId="0" applyFont="1" applyBorder="1" applyAlignment="1" applyProtection="1">
      <alignment horizontal="left" vertical="center" wrapText="1"/>
      <protection hidden="1"/>
    </xf>
    <xf numFmtId="0" fontId="22" fillId="0" borderId="8" xfId="0" applyFont="1" applyBorder="1" applyAlignment="1" applyProtection="1">
      <alignment horizontal="left" vertical="center" wrapText="1"/>
      <protection hidden="1"/>
    </xf>
    <xf numFmtId="0" fontId="22" fillId="0" borderId="25" xfId="0" applyFont="1" applyBorder="1" applyAlignment="1" applyProtection="1">
      <alignment horizontal="left" vertical="center" wrapText="1"/>
      <protection hidden="1"/>
    </xf>
    <xf numFmtId="0" fontId="22" fillId="0" borderId="5" xfId="0" applyFont="1" applyBorder="1" applyAlignment="1" applyProtection="1">
      <alignment horizontal="left" vertical="center" wrapText="1"/>
      <protection hidden="1"/>
    </xf>
    <xf numFmtId="0" fontId="22" fillId="0" borderId="2" xfId="0" applyFont="1" applyBorder="1" applyAlignment="1" applyProtection="1">
      <alignment horizontal="left" vertical="center" wrapText="1"/>
      <protection hidden="1"/>
    </xf>
    <xf numFmtId="0" fontId="22" fillId="0" borderId="6" xfId="0" applyFont="1" applyBorder="1" applyAlignment="1" applyProtection="1">
      <alignment horizontal="left" vertical="center" wrapText="1"/>
      <protection hidden="1"/>
    </xf>
    <xf numFmtId="166" fontId="2" fillId="8" borderId="17" xfId="0" applyNumberFormat="1" applyFont="1" applyFill="1" applyBorder="1" applyAlignment="1" applyProtection="1">
      <alignment horizontal="center" vertical="center"/>
      <protection locked="0"/>
    </xf>
    <xf numFmtId="166" fontId="2" fillId="8" borderId="25" xfId="0" applyNumberFormat="1" applyFont="1" applyFill="1" applyBorder="1" applyAlignment="1" applyProtection="1">
      <alignment horizontal="center" vertical="center"/>
      <protection locked="0"/>
    </xf>
    <xf numFmtId="166" fontId="2" fillId="8" borderId="5" xfId="0" applyNumberFormat="1" applyFont="1" applyFill="1" applyBorder="1" applyAlignment="1" applyProtection="1">
      <alignment horizontal="center" vertical="center"/>
      <protection locked="0"/>
    </xf>
    <xf numFmtId="166" fontId="2" fillId="8" borderId="6" xfId="0" applyNumberFormat="1" applyFont="1" applyFill="1" applyBorder="1" applyAlignment="1" applyProtection="1">
      <alignment horizontal="center" vertical="center"/>
      <protection locked="0"/>
    </xf>
    <xf numFmtId="0" fontId="22" fillId="0" borderId="17" xfId="0" applyFont="1" applyBorder="1" applyAlignment="1" applyProtection="1">
      <alignment horizontal="left" vertical="center"/>
      <protection hidden="1"/>
    </xf>
    <xf numFmtId="0" fontId="22" fillId="0" borderId="8" xfId="0" applyFont="1" applyBorder="1" applyAlignment="1" applyProtection="1">
      <alignment horizontal="left" vertical="center"/>
      <protection hidden="1"/>
    </xf>
    <xf numFmtId="0" fontId="22" fillId="0" borderId="25" xfId="0" applyFont="1" applyBorder="1" applyAlignment="1" applyProtection="1">
      <alignment horizontal="left" vertical="center"/>
      <protection hidden="1"/>
    </xf>
    <xf numFmtId="0" fontId="22" fillId="0" borderId="5" xfId="0" applyFont="1" applyBorder="1" applyAlignment="1" applyProtection="1">
      <alignment horizontal="left" vertical="center"/>
      <protection hidden="1"/>
    </xf>
    <xf numFmtId="0" fontId="22" fillId="0" borderId="2" xfId="0" applyFont="1" applyBorder="1" applyAlignment="1" applyProtection="1">
      <alignment horizontal="left" vertical="center"/>
      <protection hidden="1"/>
    </xf>
    <xf numFmtId="0" fontId="22" fillId="0" borderId="6" xfId="0" applyFont="1" applyBorder="1" applyAlignment="1" applyProtection="1">
      <alignment horizontal="left" vertical="center"/>
      <protection hidden="1"/>
    </xf>
    <xf numFmtId="0" fontId="2" fillId="3" borderId="35" xfId="0" applyFont="1" applyFill="1" applyBorder="1" applyAlignment="1" applyProtection="1">
      <alignment horizontal="left" vertical="center"/>
      <protection hidden="1"/>
    </xf>
    <xf numFmtId="170" fontId="2" fillId="3" borderId="9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10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66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32" xfId="0" applyNumberFormat="1" applyFont="1" applyFill="1" applyBorder="1" applyAlignment="1" applyProtection="1">
      <alignment horizontal="right" vertical="center" indent="1"/>
      <protection hidden="1"/>
    </xf>
    <xf numFmtId="198" fontId="2" fillId="3" borderId="20" xfId="0" applyNumberFormat="1" applyFont="1" applyFill="1" applyBorder="1" applyAlignment="1" applyProtection="1">
      <alignment horizontal="right" vertical="center" indent="1"/>
      <protection hidden="1"/>
    </xf>
    <xf numFmtId="198" fontId="2" fillId="3" borderId="33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20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33" xfId="0" applyNumberFormat="1" applyFont="1" applyFill="1" applyBorder="1" applyAlignment="1" applyProtection="1">
      <alignment horizontal="right" vertical="center" indent="1"/>
      <protection hidden="1"/>
    </xf>
    <xf numFmtId="0" fontId="85" fillId="11" borderId="17" xfId="0" applyFont="1" applyFill="1" applyBorder="1" applyAlignment="1" applyProtection="1">
      <alignment horizontal="left" vertical="center" wrapText="1"/>
      <protection hidden="1"/>
    </xf>
    <xf numFmtId="0" fontId="85" fillId="11" borderId="8" xfId="0" applyFont="1" applyFill="1" applyBorder="1" applyAlignment="1" applyProtection="1">
      <alignment horizontal="left" vertical="center" wrapText="1"/>
      <protection hidden="1"/>
    </xf>
    <xf numFmtId="0" fontId="85" fillId="11" borderId="25" xfId="0" applyFont="1" applyFill="1" applyBorder="1" applyAlignment="1" applyProtection="1">
      <alignment horizontal="left" vertical="center" wrapText="1"/>
      <protection hidden="1"/>
    </xf>
    <xf numFmtId="0" fontId="85" fillId="11" borderId="5" xfId="0" applyFont="1" applyFill="1" applyBorder="1" applyAlignment="1" applyProtection="1">
      <alignment horizontal="left" vertical="center" wrapText="1"/>
      <protection hidden="1"/>
    </xf>
    <xf numFmtId="0" fontId="85" fillId="11" borderId="2" xfId="0" applyFont="1" applyFill="1" applyBorder="1" applyAlignment="1" applyProtection="1">
      <alignment horizontal="left" vertical="center" wrapText="1"/>
      <protection hidden="1"/>
    </xf>
    <xf numFmtId="0" fontId="85" fillId="11" borderId="6" xfId="0" applyFont="1" applyFill="1" applyBorder="1" applyAlignment="1" applyProtection="1">
      <alignment horizontal="left" vertical="center" wrapText="1"/>
      <protection hidden="1"/>
    </xf>
    <xf numFmtId="196" fontId="72" fillId="11" borderId="17" xfId="0" applyNumberFormat="1" applyFont="1" applyFill="1" applyBorder="1" applyAlignment="1" applyProtection="1">
      <alignment horizontal="right" vertical="center" indent="1"/>
      <protection hidden="1"/>
    </xf>
    <xf numFmtId="196" fontId="72" fillId="11" borderId="25" xfId="0" applyNumberFormat="1" applyFont="1" applyFill="1" applyBorder="1" applyAlignment="1" applyProtection="1">
      <alignment horizontal="right" vertical="center" indent="1"/>
      <protection hidden="1"/>
    </xf>
    <xf numFmtId="196" fontId="72" fillId="11" borderId="5" xfId="0" applyNumberFormat="1" applyFont="1" applyFill="1" applyBorder="1" applyAlignment="1" applyProtection="1">
      <alignment horizontal="right" vertical="center" indent="1"/>
      <protection hidden="1"/>
    </xf>
    <xf numFmtId="196" fontId="72" fillId="11" borderId="6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20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33" xfId="0" applyNumberFormat="1" applyFont="1" applyFill="1" applyBorder="1" applyAlignment="1" applyProtection="1">
      <alignment horizontal="right" vertical="center" indent="1"/>
      <protection hidden="1"/>
    </xf>
    <xf numFmtId="0" fontId="22" fillId="3" borderId="17" xfId="0" applyFont="1" applyFill="1" applyBorder="1" applyAlignment="1" applyProtection="1">
      <alignment horizontal="left" vertical="center" wrapText="1"/>
      <protection hidden="1"/>
    </xf>
    <xf numFmtId="0" fontId="22" fillId="3" borderId="8" xfId="0" applyFont="1" applyFill="1" applyBorder="1" applyAlignment="1" applyProtection="1">
      <alignment horizontal="left" vertical="center" wrapText="1"/>
      <protection hidden="1"/>
    </xf>
    <xf numFmtId="0" fontId="22" fillId="3" borderId="25" xfId="0" applyFont="1" applyFill="1" applyBorder="1" applyAlignment="1" applyProtection="1">
      <alignment horizontal="left" vertical="center" wrapText="1"/>
      <protection hidden="1"/>
    </xf>
    <xf numFmtId="0" fontId="22" fillId="3" borderId="5" xfId="0" applyFont="1" applyFill="1" applyBorder="1" applyAlignment="1" applyProtection="1">
      <alignment horizontal="left" vertical="center" wrapText="1"/>
      <protection hidden="1"/>
    </xf>
    <xf numFmtId="0" fontId="22" fillId="3" borderId="2" xfId="0" applyFont="1" applyFill="1" applyBorder="1" applyAlignment="1" applyProtection="1">
      <alignment horizontal="left" vertical="center" wrapText="1"/>
      <protection hidden="1"/>
    </xf>
    <xf numFmtId="0" fontId="22" fillId="3" borderId="6" xfId="0" applyFont="1" applyFill="1" applyBorder="1" applyAlignment="1" applyProtection="1">
      <alignment horizontal="left" vertical="center" wrapText="1"/>
      <protection hidden="1"/>
    </xf>
    <xf numFmtId="166" fontId="2" fillId="3" borderId="17" xfId="0" applyNumberFormat="1" applyFont="1" applyFill="1" applyBorder="1" applyAlignment="1" applyProtection="1">
      <alignment horizontal="center" vertical="center"/>
      <protection hidden="1"/>
    </xf>
    <xf numFmtId="166" fontId="2" fillId="3" borderId="25" xfId="0" applyNumberFormat="1" applyFont="1" applyFill="1" applyBorder="1" applyAlignment="1" applyProtection="1">
      <alignment horizontal="center" vertical="center"/>
      <protection hidden="1"/>
    </xf>
    <xf numFmtId="166" fontId="2" fillId="3" borderId="5" xfId="0" applyNumberFormat="1" applyFont="1" applyFill="1" applyBorder="1" applyAlignment="1" applyProtection="1">
      <alignment horizontal="center" vertical="center"/>
      <protection hidden="1"/>
    </xf>
    <xf numFmtId="166" fontId="2" fillId="3" borderId="6" xfId="0" applyNumberFormat="1" applyFont="1" applyFill="1" applyBorder="1" applyAlignment="1" applyProtection="1">
      <alignment horizontal="center" vertical="center"/>
      <protection hidden="1"/>
    </xf>
    <xf numFmtId="0" fontId="2" fillId="3" borderId="23" xfId="0" applyFont="1" applyFill="1" applyBorder="1" applyAlignment="1">
      <alignment horizontal="left" vertical="center"/>
    </xf>
    <xf numFmtId="0" fontId="2" fillId="3" borderId="22" xfId="0" applyFont="1" applyFill="1" applyBorder="1" applyAlignment="1">
      <alignment horizontal="left" vertical="center"/>
    </xf>
    <xf numFmtId="0" fontId="2" fillId="0" borderId="35" xfId="0" applyFont="1" applyBorder="1" applyAlignment="1" applyProtection="1">
      <alignment horizontal="left" vertical="center"/>
      <protection hidden="1"/>
    </xf>
    <xf numFmtId="166" fontId="2" fillId="3" borderId="20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33" xfId="0" applyNumberFormat="1" applyFont="1" applyFill="1" applyBorder="1" applyAlignment="1" applyProtection="1">
      <alignment horizontal="right" vertical="center" indent="1"/>
      <protection hidden="1"/>
    </xf>
    <xf numFmtId="0" fontId="2" fillId="3" borderId="30" xfId="0" applyFont="1" applyFill="1" applyBorder="1" applyAlignment="1" applyProtection="1">
      <alignment horizontal="left" vertical="center"/>
      <protection hidden="1"/>
    </xf>
    <xf numFmtId="0" fontId="2" fillId="0" borderId="23" xfId="0" applyFont="1" applyBorder="1" applyAlignment="1" applyProtection="1">
      <alignment horizontal="left" vertical="center"/>
      <protection hidden="1"/>
    </xf>
    <xf numFmtId="0" fontId="22" fillId="3" borderId="17" xfId="0" applyFont="1" applyFill="1" applyBorder="1" applyAlignment="1" applyProtection="1">
      <alignment horizontal="left" vertical="center"/>
      <protection hidden="1"/>
    </xf>
    <xf numFmtId="0" fontId="22" fillId="3" borderId="5" xfId="0" applyFont="1" applyFill="1" applyBorder="1" applyAlignment="1" applyProtection="1">
      <alignment horizontal="left" vertical="center"/>
      <protection hidden="1"/>
    </xf>
    <xf numFmtId="0" fontId="22" fillId="3" borderId="8" xfId="0" applyFont="1" applyFill="1" applyBorder="1" applyAlignment="1" applyProtection="1">
      <alignment horizontal="left" vertical="center"/>
      <protection hidden="1"/>
    </xf>
    <xf numFmtId="0" fontId="22" fillId="3" borderId="25" xfId="0" applyFont="1" applyFill="1" applyBorder="1" applyAlignment="1" applyProtection="1">
      <alignment horizontal="left" vertical="center"/>
      <protection hidden="1"/>
    </xf>
    <xf numFmtId="0" fontId="22" fillId="3" borderId="2" xfId="0" applyFont="1" applyFill="1" applyBorder="1" applyAlignment="1" applyProtection="1">
      <alignment horizontal="left" vertical="center"/>
      <protection hidden="1"/>
    </xf>
    <xf numFmtId="0" fontId="22" fillId="3" borderId="6" xfId="0" applyFont="1" applyFill="1" applyBorder="1" applyAlignment="1" applyProtection="1">
      <alignment horizontal="left" vertical="center"/>
      <protection hidden="1"/>
    </xf>
    <xf numFmtId="166" fontId="2" fillId="3" borderId="8" xfId="0" applyNumberFormat="1" applyFont="1" applyFill="1" applyBorder="1" applyAlignment="1" applyProtection="1">
      <alignment horizontal="center" vertical="center"/>
      <protection hidden="1"/>
    </xf>
    <xf numFmtId="166" fontId="2" fillId="3" borderId="2" xfId="0" applyNumberFormat="1" applyFont="1" applyFill="1" applyBorder="1" applyAlignment="1" applyProtection="1">
      <alignment horizontal="center" vertical="center"/>
      <protection hidden="1"/>
    </xf>
    <xf numFmtId="198" fontId="2" fillId="3" borderId="23" xfId="0" applyNumberFormat="1" applyFont="1" applyFill="1" applyBorder="1" applyAlignment="1" applyProtection="1">
      <alignment horizontal="right" vertical="center" indent="1"/>
      <protection hidden="1"/>
    </xf>
    <xf numFmtId="198" fontId="2" fillId="3" borderId="22" xfId="0" applyNumberFormat="1" applyFont="1" applyFill="1" applyBorder="1" applyAlignment="1" applyProtection="1">
      <alignment horizontal="right" vertical="center" indent="1"/>
      <protection hidden="1"/>
    </xf>
    <xf numFmtId="198" fontId="2" fillId="3" borderId="24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19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30" xfId="0" applyNumberFormat="1" applyFont="1" applyFill="1" applyBorder="1" applyAlignment="1" applyProtection="1">
      <alignment horizontal="right" vertical="center" indent="1"/>
      <protection hidden="1"/>
    </xf>
    <xf numFmtId="0" fontId="85" fillId="11" borderId="17" xfId="0" applyFont="1" applyFill="1" applyBorder="1" applyAlignment="1" applyProtection="1">
      <alignment horizontal="left" vertical="center"/>
      <protection hidden="1"/>
    </xf>
    <xf numFmtId="0" fontId="85" fillId="11" borderId="8" xfId="0" applyFont="1" applyFill="1" applyBorder="1" applyAlignment="1" applyProtection="1">
      <alignment horizontal="left" vertical="center"/>
      <protection hidden="1"/>
    </xf>
    <xf numFmtId="0" fontId="85" fillId="11" borderId="25" xfId="0" applyFont="1" applyFill="1" applyBorder="1" applyAlignment="1" applyProtection="1">
      <alignment horizontal="left" vertical="center"/>
      <protection hidden="1"/>
    </xf>
    <xf numFmtId="0" fontId="85" fillId="11" borderId="5" xfId="0" applyFont="1" applyFill="1" applyBorder="1" applyAlignment="1" applyProtection="1">
      <alignment horizontal="left" vertical="center"/>
      <protection hidden="1"/>
    </xf>
    <xf numFmtId="0" fontId="85" fillId="11" borderId="2" xfId="0" applyFont="1" applyFill="1" applyBorder="1" applyAlignment="1" applyProtection="1">
      <alignment horizontal="left" vertical="center"/>
      <protection hidden="1"/>
    </xf>
    <xf numFmtId="0" fontId="85" fillId="11" borderId="6" xfId="0" applyFont="1" applyFill="1" applyBorder="1" applyAlignment="1" applyProtection="1">
      <alignment horizontal="left" vertical="center"/>
      <protection hidden="1"/>
    </xf>
    <xf numFmtId="196" fontId="72" fillId="11" borderId="17" xfId="0" applyNumberFormat="1" applyFont="1" applyFill="1" applyBorder="1" applyAlignment="1" applyProtection="1">
      <alignment horizontal="center" vertical="center"/>
      <protection hidden="1"/>
    </xf>
    <xf numFmtId="196" fontId="72" fillId="11" borderId="25" xfId="0" applyNumberFormat="1" applyFont="1" applyFill="1" applyBorder="1" applyAlignment="1" applyProtection="1">
      <alignment horizontal="center" vertical="center"/>
      <protection hidden="1"/>
    </xf>
    <xf numFmtId="196" fontId="72" fillId="11" borderId="5" xfId="0" applyNumberFormat="1" applyFont="1" applyFill="1" applyBorder="1" applyAlignment="1" applyProtection="1">
      <alignment horizontal="center" vertical="center"/>
      <protection hidden="1"/>
    </xf>
    <xf numFmtId="196" fontId="72" fillId="11" borderId="6" xfId="0" applyNumberFormat="1" applyFont="1" applyFill="1" applyBorder="1" applyAlignment="1" applyProtection="1">
      <alignment horizontal="center" vertical="center"/>
      <protection hidden="1"/>
    </xf>
    <xf numFmtId="0" fontId="22" fillId="0" borderId="17" xfId="0" applyFont="1" applyBorder="1" applyAlignment="1" applyProtection="1">
      <alignment horizontal="center" vertical="center"/>
      <protection hidden="1"/>
    </xf>
    <xf numFmtId="0" fontId="22" fillId="0" borderId="8" xfId="0" applyFont="1" applyBorder="1" applyAlignment="1" applyProtection="1">
      <alignment horizontal="center" vertical="center"/>
      <protection hidden="1"/>
    </xf>
    <xf numFmtId="0" fontId="22" fillId="0" borderId="25" xfId="0" applyFont="1" applyBorder="1" applyAlignment="1" applyProtection="1">
      <alignment horizontal="center" vertical="center"/>
      <protection hidden="1"/>
    </xf>
    <xf numFmtId="0" fontId="22" fillId="0" borderId="5" xfId="0" applyFont="1" applyBorder="1" applyAlignment="1" applyProtection="1">
      <alignment horizontal="center" vertical="center"/>
      <protection hidden="1"/>
    </xf>
    <xf numFmtId="0" fontId="22" fillId="0" borderId="2" xfId="0" applyFont="1" applyBorder="1" applyAlignment="1" applyProtection="1">
      <alignment horizontal="center" vertical="center"/>
      <protection hidden="1"/>
    </xf>
    <xf numFmtId="0" fontId="22" fillId="0" borderId="6" xfId="0" applyFont="1" applyBorder="1" applyAlignment="1" applyProtection="1">
      <alignment horizontal="center" vertical="center"/>
      <protection hidden="1"/>
    </xf>
    <xf numFmtId="166" fontId="2" fillId="0" borderId="7" xfId="0" applyNumberFormat="1" applyFont="1" applyBorder="1" applyAlignment="1" applyProtection="1">
      <alignment horizontal="center" vertical="center"/>
      <protection hidden="1"/>
    </xf>
    <xf numFmtId="166" fontId="2" fillId="0" borderId="3" xfId="0" applyNumberFormat="1" applyFont="1" applyBorder="1" applyAlignment="1" applyProtection="1">
      <alignment horizontal="center" vertical="center"/>
      <protection hidden="1"/>
    </xf>
    <xf numFmtId="166" fontId="2" fillId="0" borderId="4" xfId="0" applyNumberFormat="1" applyFont="1" applyBorder="1" applyAlignment="1" applyProtection="1">
      <alignment horizontal="center" vertical="center"/>
      <protection hidden="1"/>
    </xf>
    <xf numFmtId="0" fontId="22" fillId="3" borderId="7" xfId="0" applyFont="1" applyFill="1" applyBorder="1" applyAlignment="1" applyProtection="1">
      <alignment horizontal="left" vertical="center" wrapText="1"/>
      <protection hidden="1"/>
    </xf>
    <xf numFmtId="0" fontId="22" fillId="3" borderId="3" xfId="0" applyFont="1" applyFill="1" applyBorder="1" applyAlignment="1" applyProtection="1">
      <alignment horizontal="left" vertical="center" wrapText="1"/>
      <protection hidden="1"/>
    </xf>
    <xf numFmtId="0" fontId="22" fillId="3" borderId="4" xfId="0" applyFont="1" applyFill="1" applyBorder="1" applyAlignment="1" applyProtection="1">
      <alignment horizontal="left" vertical="center" wrapText="1"/>
      <protection hidden="1"/>
    </xf>
    <xf numFmtId="0" fontId="2" fillId="3" borderId="35" xfId="0" applyFont="1" applyFill="1" applyBorder="1" applyAlignment="1" applyProtection="1">
      <alignment horizontal="left" vertical="center" wrapText="1"/>
      <protection hidden="1"/>
    </xf>
    <xf numFmtId="0" fontId="2" fillId="3" borderId="33" xfId="0" applyFont="1" applyFill="1" applyBorder="1" applyAlignment="1" applyProtection="1">
      <alignment horizontal="left" vertical="center" wrapText="1"/>
      <protection hidden="1"/>
    </xf>
    <xf numFmtId="0" fontId="6" fillId="3" borderId="29" xfId="0" applyFont="1" applyFill="1" applyBorder="1" applyAlignment="1" applyProtection="1">
      <alignment horizontal="left" vertical="center" indent="1"/>
      <protection hidden="1"/>
    </xf>
    <xf numFmtId="0" fontId="6" fillId="3" borderId="30" xfId="0" applyFont="1" applyFill="1" applyBorder="1" applyAlignment="1" applyProtection="1">
      <alignment horizontal="left" vertical="center" indent="1"/>
      <protection hidden="1"/>
    </xf>
    <xf numFmtId="170" fontId="22" fillId="3" borderId="19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32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0" xfId="0" applyNumberFormat="1" applyFont="1" applyFill="1" applyAlignment="1" applyProtection="1">
      <alignment horizontal="right" vertical="center" indent="1"/>
      <protection hidden="1"/>
    </xf>
    <xf numFmtId="170" fontId="2" fillId="3" borderId="29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21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5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6" xfId="0" applyNumberFormat="1" applyFont="1" applyFill="1" applyBorder="1" applyAlignment="1" applyProtection="1">
      <alignment horizontal="right" vertical="center" indent="1"/>
      <protection hidden="1"/>
    </xf>
    <xf numFmtId="0" fontId="2" fillId="3" borderId="66" xfId="0" applyFont="1" applyFill="1" applyBorder="1" applyAlignment="1" applyProtection="1">
      <alignment horizontal="left" vertical="center" wrapText="1"/>
      <protection hidden="1"/>
    </xf>
    <xf numFmtId="0" fontId="0" fillId="3" borderId="66" xfId="0" applyFill="1" applyBorder="1" applyAlignment="1">
      <alignment vertical="center"/>
    </xf>
    <xf numFmtId="0" fontId="0" fillId="3" borderId="32" xfId="0" applyFill="1" applyBorder="1" applyAlignment="1">
      <alignment vertical="center"/>
    </xf>
    <xf numFmtId="0" fontId="2" fillId="3" borderId="23" xfId="0" applyFont="1" applyFill="1" applyBorder="1" applyAlignment="1" applyProtection="1">
      <alignment horizontal="left" vertical="center"/>
      <protection hidden="1"/>
    </xf>
    <xf numFmtId="0" fontId="2" fillId="3" borderId="21" xfId="0" applyFont="1" applyFill="1" applyBorder="1" applyAlignment="1" applyProtection="1">
      <alignment horizontal="left" vertical="center"/>
      <protection hidden="1"/>
    </xf>
    <xf numFmtId="198" fontId="2" fillId="3" borderId="35" xfId="0" applyNumberFormat="1" applyFont="1" applyFill="1" applyBorder="1" applyAlignment="1" applyProtection="1">
      <alignment horizontal="right" vertical="center" indent="1"/>
      <protection hidden="1"/>
    </xf>
    <xf numFmtId="198" fontId="2" fillId="3" borderId="30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20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33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35" xfId="0" applyNumberFormat="1" applyFont="1" applyFill="1" applyBorder="1" applyAlignment="1" applyProtection="1">
      <alignment horizontal="right" vertical="center" indent="1"/>
      <protection hidden="1"/>
    </xf>
    <xf numFmtId="0" fontId="6" fillId="3" borderId="20" xfId="0" applyFont="1" applyFill="1" applyBorder="1" applyAlignment="1" applyProtection="1">
      <alignment horizontal="left" vertical="center" indent="1"/>
      <protection hidden="1"/>
    </xf>
    <xf numFmtId="0" fontId="6" fillId="3" borderId="35" xfId="0" applyFont="1" applyFill="1" applyBorder="1" applyAlignment="1" applyProtection="1">
      <alignment horizontal="left" vertical="center" indent="1"/>
      <protection hidden="1"/>
    </xf>
    <xf numFmtId="166" fontId="41" fillId="0" borderId="24" xfId="0" applyNumberFormat="1" applyFont="1" applyBorder="1" applyAlignment="1" applyProtection="1">
      <alignment horizontal="right" vertical="center" indent="1"/>
      <protection hidden="1"/>
    </xf>
    <xf numFmtId="166" fontId="41" fillId="0" borderId="22" xfId="0" applyNumberFormat="1" applyFont="1" applyBorder="1" applyAlignment="1" applyProtection="1">
      <alignment horizontal="right" vertical="center" indent="1"/>
      <protection hidden="1"/>
    </xf>
    <xf numFmtId="166" fontId="42" fillId="0" borderId="24" xfId="0" applyNumberFormat="1" applyFont="1" applyBorder="1" applyAlignment="1" applyProtection="1">
      <alignment horizontal="right" vertical="center" indent="1"/>
      <protection hidden="1"/>
    </xf>
    <xf numFmtId="166" fontId="42" fillId="0" borderId="22" xfId="0" applyNumberFormat="1" applyFont="1" applyBorder="1" applyAlignment="1" applyProtection="1">
      <alignment horizontal="right" vertical="center" indent="1"/>
      <protection hidden="1"/>
    </xf>
    <xf numFmtId="0" fontId="2" fillId="3" borderId="17" xfId="0" applyFont="1" applyFill="1" applyBorder="1" applyAlignment="1" applyProtection="1">
      <alignment horizontal="right" vertical="center" indent="1"/>
      <protection hidden="1"/>
    </xf>
    <xf numFmtId="0" fontId="2" fillId="3" borderId="25" xfId="0" applyFont="1" applyFill="1" applyBorder="1" applyAlignment="1" applyProtection="1">
      <alignment horizontal="right" vertical="center" indent="1"/>
      <protection hidden="1"/>
    </xf>
    <xf numFmtId="0" fontId="2" fillId="3" borderId="8" xfId="0" applyFont="1" applyFill="1" applyBorder="1" applyAlignment="1" applyProtection="1">
      <alignment horizontal="right" vertical="center" indent="1"/>
      <protection hidden="1"/>
    </xf>
    <xf numFmtId="170" fontId="2" fillId="3" borderId="35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19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32" xfId="0" applyNumberFormat="1" applyFont="1" applyFill="1" applyBorder="1" applyAlignment="1" applyProtection="1">
      <alignment horizontal="right" vertical="center" indent="1"/>
      <protection hidden="1"/>
    </xf>
    <xf numFmtId="0" fontId="2" fillId="3" borderId="32" xfId="0" applyFont="1" applyFill="1" applyBorder="1" applyAlignment="1" applyProtection="1">
      <alignment horizontal="left" vertical="center" wrapText="1"/>
      <protection hidden="1"/>
    </xf>
    <xf numFmtId="170" fontId="2" fillId="3" borderId="66" xfId="0" applyNumberFormat="1" applyFont="1" applyFill="1" applyBorder="1" applyAlignment="1" applyProtection="1">
      <alignment horizontal="right" vertical="center" indent="1"/>
      <protection hidden="1"/>
    </xf>
    <xf numFmtId="0" fontId="22" fillId="0" borderId="35" xfId="0" applyFont="1" applyBorder="1" applyAlignment="1" applyProtection="1">
      <alignment horizontal="left" vertical="center" wrapText="1"/>
      <protection hidden="1"/>
    </xf>
    <xf numFmtId="0" fontId="22" fillId="0" borderId="33" xfId="0" applyFont="1" applyBorder="1" applyAlignment="1" applyProtection="1">
      <alignment horizontal="left" vertical="center" wrapText="1"/>
      <protection hidden="1"/>
    </xf>
    <xf numFmtId="170" fontId="2" fillId="3" borderId="34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7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4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7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4" xfId="0" applyNumberFormat="1" applyFont="1" applyFill="1" applyBorder="1" applyAlignment="1" applyProtection="1">
      <alignment horizontal="right" vertical="center" indent="1"/>
      <protection hidden="1"/>
    </xf>
    <xf numFmtId="0" fontId="2" fillId="3" borderId="34" xfId="0" applyFont="1" applyFill="1" applyBorder="1" applyAlignment="1" applyProtection="1">
      <alignment horizontal="left" vertical="center" wrapText="1"/>
      <protection hidden="1"/>
    </xf>
    <xf numFmtId="0" fontId="2" fillId="3" borderId="31" xfId="0" applyFont="1" applyFill="1" applyBorder="1" applyAlignment="1" applyProtection="1">
      <alignment horizontal="left" vertical="center" wrapText="1"/>
      <protection hidden="1"/>
    </xf>
    <xf numFmtId="170" fontId="2" fillId="3" borderId="3" xfId="0" applyNumberFormat="1" applyFont="1" applyFill="1" applyBorder="1" applyAlignment="1" applyProtection="1">
      <alignment horizontal="right" vertical="center" indent="1"/>
      <protection hidden="1"/>
    </xf>
    <xf numFmtId="4" fontId="9" fillId="17" borderId="7" xfId="0" applyNumberFormat="1" applyFont="1" applyFill="1" applyBorder="1" applyAlignment="1" applyProtection="1">
      <alignment horizontal="center" vertical="center" wrapText="1"/>
      <protection hidden="1"/>
    </xf>
    <xf numFmtId="4" fontId="9" fillId="17" borderId="4" xfId="0" applyNumberFormat="1" applyFont="1" applyFill="1" applyBorder="1" applyAlignment="1" applyProtection="1">
      <alignment horizontal="center" vertical="center" wrapText="1"/>
      <protection hidden="1"/>
    </xf>
    <xf numFmtId="10" fontId="2" fillId="3" borderId="7" xfId="5" applyNumberFormat="1" applyFont="1" applyFill="1" applyBorder="1" applyAlignment="1" applyProtection="1">
      <alignment horizontal="center" vertical="center"/>
      <protection hidden="1"/>
    </xf>
    <xf numFmtId="10" fontId="2" fillId="3" borderId="4" xfId="5" applyNumberFormat="1" applyFont="1" applyFill="1" applyBorder="1" applyAlignment="1" applyProtection="1">
      <alignment horizontal="center" vertical="center"/>
      <protection hidden="1"/>
    </xf>
    <xf numFmtId="10" fontId="2" fillId="3" borderId="3" xfId="5" applyNumberFormat="1" applyFont="1" applyFill="1" applyBorder="1" applyAlignment="1" applyProtection="1">
      <alignment horizontal="center" vertical="center"/>
      <protection hidden="1"/>
    </xf>
    <xf numFmtId="4" fontId="10" fillId="17" borderId="4" xfId="1" applyNumberFormat="1" applyFont="1" applyFill="1" applyBorder="1" applyAlignment="1" applyProtection="1">
      <alignment horizontal="center" vertical="center"/>
      <protection hidden="1"/>
    </xf>
    <xf numFmtId="4" fontId="10" fillId="17" borderId="1" xfId="1" applyNumberFormat="1" applyFont="1" applyFill="1" applyBorder="1" applyAlignment="1" applyProtection="1">
      <alignment horizontal="center" vertical="center"/>
      <protection hidden="1"/>
    </xf>
    <xf numFmtId="10" fontId="22" fillId="3" borderId="7" xfId="5" applyNumberFormat="1" applyFont="1" applyFill="1" applyBorder="1" applyAlignment="1" applyProtection="1">
      <alignment horizontal="center" vertical="center" wrapText="1"/>
      <protection hidden="1"/>
    </xf>
    <xf numFmtId="10" fontId="22" fillId="3" borderId="4" xfId="5" applyNumberFormat="1" applyFont="1" applyFill="1" applyBorder="1" applyAlignment="1" applyProtection="1">
      <alignment horizontal="center" vertical="center" wrapText="1"/>
      <protection hidden="1"/>
    </xf>
    <xf numFmtId="0" fontId="33" fillId="3" borderId="2" xfId="1" applyFont="1" applyFill="1" applyBorder="1" applyAlignment="1" applyProtection="1">
      <alignment horizontal="center"/>
      <protection locked="0"/>
    </xf>
    <xf numFmtId="0" fontId="22" fillId="3" borderId="2" xfId="0" applyFont="1" applyFill="1" applyBorder="1" applyAlignment="1" applyProtection="1">
      <alignment horizontal="left" vertical="top" wrapText="1"/>
      <protection hidden="1"/>
    </xf>
    <xf numFmtId="0" fontId="22" fillId="3" borderId="2" xfId="0" applyFont="1" applyFill="1" applyBorder="1" applyAlignment="1" applyProtection="1">
      <alignment horizontal="left" vertical="top"/>
      <protection hidden="1"/>
    </xf>
    <xf numFmtId="174" fontId="48" fillId="0" borderId="17" xfId="0" applyNumberFormat="1" applyFont="1" applyBorder="1" applyAlignment="1" applyProtection="1">
      <alignment horizontal="left" vertical="center" indent="1"/>
      <protection hidden="1"/>
    </xf>
    <xf numFmtId="174" fontId="48" fillId="0" borderId="8" xfId="0" applyNumberFormat="1" applyFont="1" applyBorder="1" applyAlignment="1" applyProtection="1">
      <alignment horizontal="left" vertical="center" indent="1"/>
      <protection hidden="1"/>
    </xf>
    <xf numFmtId="174" fontId="48" fillId="0" borderId="9" xfId="0" applyNumberFormat="1" applyFont="1" applyBorder="1" applyAlignment="1" applyProtection="1">
      <alignment horizontal="left" vertical="center" indent="1"/>
      <protection hidden="1"/>
    </xf>
    <xf numFmtId="174" fontId="48" fillId="0" borderId="0" xfId="0" applyNumberFormat="1" applyFont="1" applyAlignment="1" applyProtection="1">
      <alignment horizontal="left" vertical="center" indent="1"/>
      <protection hidden="1"/>
    </xf>
    <xf numFmtId="174" fontId="48" fillId="0" borderId="5" xfId="0" applyNumberFormat="1" applyFont="1" applyBorder="1" applyAlignment="1" applyProtection="1">
      <alignment horizontal="left" vertical="center" indent="1"/>
      <protection hidden="1"/>
    </xf>
    <xf numFmtId="174" fontId="48" fillId="0" borderId="2" xfId="0" applyNumberFormat="1" applyFont="1" applyBorder="1" applyAlignment="1" applyProtection="1">
      <alignment horizontal="left" vertical="center" indent="1"/>
      <protection hidden="1"/>
    </xf>
    <xf numFmtId="0" fontId="69" fillId="3" borderId="8" xfId="0" applyFont="1" applyFill="1" applyBorder="1" applyAlignment="1" applyProtection="1">
      <alignment horizontal="center" vertical="center" shrinkToFit="1"/>
      <protection hidden="1"/>
    </xf>
    <xf numFmtId="0" fontId="69" fillId="3" borderId="0" xfId="0" applyFont="1" applyFill="1" applyAlignment="1" applyProtection="1">
      <alignment horizontal="center" vertical="center" shrinkToFit="1"/>
      <protection hidden="1"/>
    </xf>
    <xf numFmtId="0" fontId="69" fillId="3" borderId="2" xfId="0" applyFont="1" applyFill="1" applyBorder="1" applyAlignment="1" applyProtection="1">
      <alignment horizontal="center" vertical="center" shrinkToFit="1"/>
      <protection hidden="1"/>
    </xf>
    <xf numFmtId="0" fontId="24" fillId="3" borderId="9" xfId="0" applyFont="1" applyFill="1" applyBorder="1" applyAlignment="1" applyProtection="1">
      <alignment horizontal="left" vertical="top"/>
      <protection hidden="1"/>
    </xf>
    <xf numFmtId="0" fontId="24" fillId="3" borderId="0" xfId="0" applyFont="1" applyFill="1" applyAlignment="1" applyProtection="1">
      <alignment horizontal="left" vertical="top"/>
      <protection hidden="1"/>
    </xf>
    <xf numFmtId="0" fontId="24" fillId="3" borderId="10" xfId="0" applyFont="1" applyFill="1" applyBorder="1" applyAlignment="1" applyProtection="1">
      <alignment horizontal="left" vertical="top"/>
      <protection hidden="1"/>
    </xf>
    <xf numFmtId="0" fontId="24" fillId="3" borderId="5" xfId="0" applyFont="1" applyFill="1" applyBorder="1" applyAlignment="1" applyProtection="1">
      <alignment horizontal="left" vertical="top"/>
      <protection hidden="1"/>
    </xf>
    <xf numFmtId="0" fontId="24" fillId="3" borderId="2" xfId="0" applyFont="1" applyFill="1" applyBorder="1" applyAlignment="1" applyProtection="1">
      <alignment horizontal="left" vertical="top"/>
      <protection hidden="1"/>
    </xf>
    <xf numFmtId="0" fontId="24" fillId="3" borderId="6" xfId="0" applyFont="1" applyFill="1" applyBorder="1" applyAlignment="1" applyProtection="1">
      <alignment horizontal="left" vertical="top"/>
      <protection hidden="1"/>
    </xf>
    <xf numFmtId="0" fontId="23" fillId="0" borderId="3" xfId="0" applyFont="1" applyBorder="1" applyAlignment="1" applyProtection="1">
      <alignment horizontal="left" vertical="center"/>
      <protection hidden="1"/>
    </xf>
    <xf numFmtId="0" fontId="23" fillId="0" borderId="4" xfId="0" applyFont="1" applyBorder="1" applyAlignment="1" applyProtection="1">
      <alignment horizontal="left" vertical="center"/>
      <protection hidden="1"/>
    </xf>
    <xf numFmtId="0" fontId="21" fillId="3" borderId="7" xfId="0" applyFont="1" applyFill="1" applyBorder="1" applyAlignment="1" applyProtection="1">
      <alignment horizontal="left" vertical="center"/>
      <protection hidden="1"/>
    </xf>
    <xf numFmtId="0" fontId="21" fillId="3" borderId="3" xfId="0" applyFont="1" applyFill="1" applyBorder="1" applyAlignment="1" applyProtection="1">
      <alignment horizontal="left" vertical="center"/>
      <protection hidden="1"/>
    </xf>
    <xf numFmtId="0" fontId="21" fillId="3" borderId="4" xfId="0" applyFont="1" applyFill="1" applyBorder="1" applyAlignment="1" applyProtection="1">
      <alignment horizontal="left" vertical="center"/>
      <protection hidden="1"/>
    </xf>
    <xf numFmtId="0" fontId="22" fillId="3" borderId="17" xfId="0" applyFont="1" applyFill="1" applyBorder="1" applyAlignment="1" applyProtection="1">
      <alignment horizontal="right" vertical="center" indent="1"/>
      <protection hidden="1"/>
    </xf>
    <xf numFmtId="0" fontId="22" fillId="3" borderId="25" xfId="0" applyFont="1" applyFill="1" applyBorder="1" applyAlignment="1" applyProtection="1">
      <alignment horizontal="right" vertical="center" indent="1"/>
      <protection hidden="1"/>
    </xf>
  </cellXfs>
  <cellStyles count="8">
    <cellStyle name="Link" xfId="1" builtinId="8"/>
    <cellStyle name="Prozent" xfId="5" builtinId="5"/>
    <cellStyle name="Standard" xfId="0" builtinId="0"/>
    <cellStyle name="Standard 2" xfId="2" xr:uid="{00000000-0005-0000-0000-000002000000}"/>
    <cellStyle name="Standard 3" xfId="6" xr:uid="{7938B7F7-5A59-43B1-8DC5-5C179A5B1D1C}"/>
    <cellStyle name="Standard_ERF 2000 fast" xfId="3" xr:uid="{00000000-0005-0000-0000-000003000000}"/>
    <cellStyle name="Standard_SSTDKON2003" xfId="4" xr:uid="{00000000-0005-0000-0000-000004000000}"/>
    <cellStyle name="Währung" xfId="7" builtinId="4"/>
  </cellStyles>
  <dxfs count="234">
    <dxf>
      <fill>
        <patternFill>
          <bgColor rgb="FFFFC1C1"/>
        </patternFill>
      </fill>
    </dxf>
    <dxf>
      <fill>
        <patternFill>
          <bgColor rgb="FFDFF1CB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rgb="FFB80000"/>
      </font>
      <fill>
        <patternFill>
          <bgColor rgb="FFFF9F9F"/>
        </patternFill>
      </fill>
    </dxf>
    <dxf>
      <font>
        <b val="0"/>
        <i val="0"/>
        <color auto="1"/>
      </font>
      <fill>
        <patternFill>
          <bgColor rgb="FFDFF1CB"/>
        </patternFill>
      </fill>
    </dxf>
    <dxf>
      <font>
        <color rgb="FFB80000"/>
      </font>
      <fill>
        <patternFill>
          <bgColor rgb="FFFF9F9F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  <border>
        <left/>
        <right/>
        <vertical/>
        <horizontal/>
      </border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fill>
        <patternFill patternType="solid">
          <bgColor rgb="FFFFFF99"/>
        </patternFill>
      </fill>
      <border>
        <right style="thin">
          <color auto="1"/>
        </right>
        <vertical/>
        <horizontal/>
      </border>
    </dxf>
    <dxf>
      <font>
        <color auto="1"/>
      </font>
      <fill>
        <patternFill>
          <bgColor rgb="FFE2F1D3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0.34998626667073579"/>
      </font>
      <fill>
        <patternFill>
          <bgColor theme="0" tint="-4.9989318521683403E-2"/>
        </patternFill>
      </fill>
    </dxf>
    <dxf>
      <font>
        <color rgb="FFFF000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E9F5DB"/>
        </patternFill>
      </fill>
    </dxf>
  </dxfs>
  <tableStyles count="0" defaultTableStyle="TableStyleMedium9" defaultPivotStyle="PivotStyleLight16"/>
  <colors>
    <mruColors>
      <color rgb="FFFCFBFF"/>
      <color rgb="FFFFFF99"/>
      <color rgb="FFDFF1CB"/>
      <color rgb="FFB80000"/>
      <color rgb="FFFF9F9F"/>
      <color rgb="FFFFC1C1"/>
      <color rgb="FFFFCCCC"/>
      <color rgb="FFE2F1D3"/>
      <color rgb="FFF5FAF0"/>
      <color rgb="FFEEF7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265546</xdr:colOff>
      <xdr:row>0</xdr:row>
      <xdr:rowOff>115455</xdr:rowOff>
    </xdr:from>
    <xdr:to>
      <xdr:col>27</xdr:col>
      <xdr:colOff>232687</xdr:colOff>
      <xdr:row>1</xdr:row>
      <xdr:rowOff>109681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E6176FEF-CD1E-4096-84BE-789A1EF49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361546" y="115455"/>
          <a:ext cx="1052414" cy="67540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C02BC470-6F62-425B-9646-50D3D9394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3ECC8E11-1129-4F1E-980F-7BCB83505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67292FC5-D1B4-412D-8042-8B0D25FC2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2406BD03-DC27-4408-88B2-4B7F8AE2E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F89ACAC8-C035-4CDA-9056-3639AE5EB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50800</xdr:colOff>
      <xdr:row>2</xdr:row>
      <xdr:rowOff>47625</xdr:rowOff>
    </xdr:from>
    <xdr:to>
      <xdr:col>32</xdr:col>
      <xdr:colOff>266700</xdr:colOff>
      <xdr:row>4</xdr:row>
      <xdr:rowOff>153713</xdr:rowOff>
    </xdr:to>
    <xdr:pic>
      <xdr:nvPicPr>
        <xdr:cNvPr id="28" name="smgv-1b">
          <a:extLst>
            <a:ext uri="{FF2B5EF4-FFF2-40B4-BE49-F238E27FC236}">
              <a16:creationId xmlns:a16="http://schemas.microsoft.com/office/drawing/2014/main" id="{9A0A7782-D195-4E4B-8C32-2BA6923E9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985500" y="189182375"/>
          <a:ext cx="876300" cy="5569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148166</xdr:colOff>
      <xdr:row>0</xdr:row>
      <xdr:rowOff>86592</xdr:rowOff>
    </xdr:from>
    <xdr:to>
      <xdr:col>32</xdr:col>
      <xdr:colOff>244232</xdr:colOff>
      <xdr:row>0</xdr:row>
      <xdr:rowOff>669637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D88E0CC2-0369-4724-B7E7-C680E77DF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029222" y="86592"/>
          <a:ext cx="921566" cy="5830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44" name="smgv-1">
          <a:extLst>
            <a:ext uri="{FF2B5EF4-FFF2-40B4-BE49-F238E27FC236}">
              <a16:creationId xmlns:a16="http://schemas.microsoft.com/office/drawing/2014/main" id="{8F83B7A0-63D4-4C9C-8630-7D77FFE00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6300" y="1933575"/>
          <a:ext cx="863600" cy="5632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46F07DB6-A9AB-47EB-ADC6-3A13F9871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5BB69EE7-A37E-48FD-B3AE-9B4EF71B0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601C9EB7-F31C-4D5E-8A17-A7CF3AB7A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2AB378AD-C1DB-4F12-9387-029E04906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01B4E4BE-3AFB-4F33-8E07-5E59A1659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1A056ED4-C712-416D-A165-C49A36DAD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ropbox\SMGV\AZK%20Excel%20Arbeitszeitkontrolle\Arbeitsversionen%20AZK%20SMGV%202026\Test-%20und%20Rolloutversionen\SMGV-Zeitkontrolle%20DE%202026_mitAbzug%20V01e_Rollout.xlsx" TargetMode="External"/><Relationship Id="rId1" Type="http://schemas.openxmlformats.org/officeDocument/2006/relationships/externalLinkPath" Target="file:///D:\Dropbox\SMGV\AZK%20Excel%20Arbeitszeitkontrolle\Arbeitsversionen%20AZK%20SMGV%202026\Test-%20und%20Rolloutversionen\SMGV-Zeitkontrolle%20DE%202026_mitAbzug%20V01e_Rollou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min_Konfig"/>
      <sheetName val="H_Basis"/>
      <sheetName val="H_Calendar"/>
      <sheetName val="H_Jahr"/>
      <sheetName val="H_MNT"/>
      <sheetName val="H_KW"/>
      <sheetName val="H_Tag"/>
      <sheetName val="H_Label"/>
      <sheetName val="Admin_RolloutHelper"/>
      <sheetName val="Basisblatt"/>
      <sheetName val="JAN"/>
      <sheetName val="FEB"/>
      <sheetName val="MRZ"/>
      <sheetName val="APR"/>
      <sheetName val="MAI"/>
      <sheetName val="JUN"/>
      <sheetName val="JUL"/>
      <sheetName val="AUG"/>
      <sheetName val="SEP"/>
      <sheetName val="OKT"/>
      <sheetName val="NOV"/>
      <sheetName val="DEZ"/>
      <sheetName val="Jahresauswertung"/>
    </sheetNames>
    <sheetDataSet>
      <sheetData sheetId="0">
        <row r="3">
          <cell r="F3">
            <v>2026</v>
          </cell>
        </row>
        <row r="8">
          <cell r="F8">
            <v>261</v>
          </cell>
        </row>
        <row r="12">
          <cell r="G12">
            <v>0.8</v>
          </cell>
          <cell r="V12">
            <v>0.25</v>
          </cell>
        </row>
        <row r="13">
          <cell r="V13">
            <v>1</v>
          </cell>
        </row>
        <row r="14">
          <cell r="V14">
            <v>1</v>
          </cell>
        </row>
        <row r="17">
          <cell r="G17" t="str">
            <v>Abzug</v>
          </cell>
          <cell r="L17">
            <v>0.42</v>
          </cell>
          <cell r="O17">
            <v>1</v>
          </cell>
        </row>
        <row r="22">
          <cell r="G22">
            <v>8</v>
          </cell>
          <cell r="V22">
            <v>2088</v>
          </cell>
        </row>
        <row r="24">
          <cell r="G24">
            <v>9.6</v>
          </cell>
        </row>
        <row r="25">
          <cell r="G25">
            <v>48</v>
          </cell>
        </row>
      </sheetData>
      <sheetData sheetId="1">
        <row r="4">
          <cell r="P4" t="str">
            <v>BDay</v>
          </cell>
        </row>
        <row r="35">
          <cell r="P35">
            <v>216</v>
          </cell>
        </row>
        <row r="62">
          <cell r="B62">
            <v>1</v>
          </cell>
          <cell r="D62">
            <v>100</v>
          </cell>
          <cell r="E62">
            <v>100</v>
          </cell>
          <cell r="F62">
            <v>100</v>
          </cell>
          <cell r="G62">
            <v>100</v>
          </cell>
          <cell r="H62">
            <v>100</v>
          </cell>
          <cell r="I62">
            <v>100</v>
          </cell>
        </row>
        <row r="63">
          <cell r="B63">
            <v>2</v>
          </cell>
          <cell r="D63">
            <v>100</v>
          </cell>
          <cell r="E63">
            <v>100</v>
          </cell>
          <cell r="F63">
            <v>100</v>
          </cell>
          <cell r="G63">
            <v>100</v>
          </cell>
          <cell r="H63">
            <v>100</v>
          </cell>
          <cell r="I63">
            <v>100</v>
          </cell>
        </row>
        <row r="64">
          <cell r="B64">
            <v>3</v>
          </cell>
          <cell r="D64">
            <v>100</v>
          </cell>
          <cell r="E64">
            <v>100</v>
          </cell>
          <cell r="F64">
            <v>100</v>
          </cell>
          <cell r="G64">
            <v>100</v>
          </cell>
          <cell r="H64">
            <v>100</v>
          </cell>
          <cell r="I64">
            <v>100</v>
          </cell>
        </row>
        <row r="65">
          <cell r="B65">
            <v>4</v>
          </cell>
          <cell r="D65">
            <v>100</v>
          </cell>
          <cell r="E65">
            <v>100</v>
          </cell>
          <cell r="F65">
            <v>100</v>
          </cell>
          <cell r="G65">
            <v>100</v>
          </cell>
          <cell r="H65">
            <v>100</v>
          </cell>
          <cell r="I65">
            <v>100</v>
          </cell>
        </row>
        <row r="66">
          <cell r="B66">
            <v>5</v>
          </cell>
          <cell r="D66">
            <v>100</v>
          </cell>
          <cell r="E66">
            <v>100</v>
          </cell>
          <cell r="F66">
            <v>100</v>
          </cell>
          <cell r="G66">
            <v>100</v>
          </cell>
          <cell r="H66">
            <v>100</v>
          </cell>
          <cell r="I66">
            <v>100</v>
          </cell>
        </row>
        <row r="67">
          <cell r="B67">
            <v>6</v>
          </cell>
          <cell r="D67">
            <v>100</v>
          </cell>
          <cell r="E67">
            <v>100</v>
          </cell>
          <cell r="F67">
            <v>100</v>
          </cell>
          <cell r="G67">
            <v>100</v>
          </cell>
          <cell r="H67">
            <v>100</v>
          </cell>
          <cell r="I67">
            <v>100</v>
          </cell>
        </row>
        <row r="68">
          <cell r="B68">
            <v>7</v>
          </cell>
          <cell r="D68">
            <v>100</v>
          </cell>
          <cell r="E68">
            <v>100</v>
          </cell>
          <cell r="F68">
            <v>100</v>
          </cell>
          <cell r="G68">
            <v>100</v>
          </cell>
          <cell r="H68">
            <v>100</v>
          </cell>
          <cell r="I68">
            <v>100</v>
          </cell>
        </row>
        <row r="69">
          <cell r="B69">
            <v>8</v>
          </cell>
          <cell r="D69">
            <v>100</v>
          </cell>
          <cell r="E69">
            <v>100</v>
          </cell>
          <cell r="F69">
            <v>100</v>
          </cell>
          <cell r="G69">
            <v>100</v>
          </cell>
          <cell r="H69">
            <v>100</v>
          </cell>
          <cell r="I69">
            <v>100</v>
          </cell>
        </row>
        <row r="70">
          <cell r="B70">
            <v>9</v>
          </cell>
          <cell r="D70">
            <v>100</v>
          </cell>
          <cell r="E70">
            <v>100</v>
          </cell>
          <cell r="F70">
            <v>100</v>
          </cell>
          <cell r="G70">
            <v>100</v>
          </cell>
          <cell r="H70">
            <v>100</v>
          </cell>
          <cell r="I70">
            <v>100</v>
          </cell>
        </row>
        <row r="71">
          <cell r="B71">
            <v>10</v>
          </cell>
          <cell r="D71">
            <v>100</v>
          </cell>
          <cell r="E71">
            <v>100</v>
          </cell>
          <cell r="F71">
            <v>100</v>
          </cell>
          <cell r="G71">
            <v>100</v>
          </cell>
          <cell r="H71">
            <v>100</v>
          </cell>
          <cell r="I71">
            <v>100</v>
          </cell>
        </row>
        <row r="72">
          <cell r="B72">
            <v>11</v>
          </cell>
          <cell r="D72">
            <v>100</v>
          </cell>
          <cell r="E72">
            <v>100</v>
          </cell>
          <cell r="F72">
            <v>100</v>
          </cell>
          <cell r="G72">
            <v>100</v>
          </cell>
          <cell r="H72">
            <v>100</v>
          </cell>
          <cell r="I72">
            <v>100</v>
          </cell>
        </row>
        <row r="73">
          <cell r="B73">
            <v>12</v>
          </cell>
          <cell r="D73">
            <v>100</v>
          </cell>
          <cell r="E73">
            <v>100</v>
          </cell>
          <cell r="F73">
            <v>100</v>
          </cell>
          <cell r="G73">
            <v>100</v>
          </cell>
          <cell r="H73">
            <v>100</v>
          </cell>
          <cell r="I73">
            <v>100</v>
          </cell>
        </row>
        <row r="74">
          <cell r="W74">
            <v>216</v>
          </cell>
        </row>
        <row r="75">
          <cell r="E75">
            <v>1</v>
          </cell>
          <cell r="F75">
            <v>2</v>
          </cell>
          <cell r="G75">
            <v>3</v>
          </cell>
          <cell r="H75">
            <v>4</v>
          </cell>
          <cell r="I75">
            <v>5</v>
          </cell>
        </row>
      </sheetData>
      <sheetData sheetId="2">
        <row r="10">
          <cell r="E10">
            <v>1</v>
          </cell>
          <cell r="G10">
            <v>1</v>
          </cell>
          <cell r="P10">
            <v>8</v>
          </cell>
          <cell r="R10">
            <v>8</v>
          </cell>
          <cell r="X10">
            <v>0</v>
          </cell>
        </row>
        <row r="11">
          <cell r="E11">
            <v>1</v>
          </cell>
          <cell r="G11">
            <v>1</v>
          </cell>
          <cell r="P11">
            <v>8</v>
          </cell>
          <cell r="R11">
            <v>8</v>
          </cell>
          <cell r="X11">
            <v>0</v>
          </cell>
        </row>
        <row r="12">
          <cell r="E12">
            <v>1</v>
          </cell>
          <cell r="G12">
            <v>1</v>
          </cell>
          <cell r="P12">
            <v>0</v>
          </cell>
          <cell r="R12">
            <v>0</v>
          </cell>
          <cell r="X12">
            <v>0</v>
          </cell>
        </row>
        <row r="13">
          <cell r="E13">
            <v>1</v>
          </cell>
          <cell r="G13">
            <v>1</v>
          </cell>
          <cell r="P13">
            <v>0</v>
          </cell>
          <cell r="R13">
            <v>0</v>
          </cell>
          <cell r="X13">
            <v>0</v>
          </cell>
        </row>
        <row r="14">
          <cell r="E14">
            <v>1</v>
          </cell>
          <cell r="G14">
            <v>2</v>
          </cell>
          <cell r="P14">
            <v>8</v>
          </cell>
          <cell r="R14">
            <v>8</v>
          </cell>
          <cell r="X14">
            <v>0</v>
          </cell>
        </row>
        <row r="15">
          <cell r="E15">
            <v>1</v>
          </cell>
          <cell r="G15">
            <v>2</v>
          </cell>
          <cell r="P15">
            <v>8</v>
          </cell>
          <cell r="R15">
            <v>8</v>
          </cell>
          <cell r="X15">
            <v>0</v>
          </cell>
        </row>
        <row r="16">
          <cell r="E16">
            <v>1</v>
          </cell>
          <cell r="G16">
            <v>2</v>
          </cell>
          <cell r="P16">
            <v>8</v>
          </cell>
          <cell r="R16">
            <v>8</v>
          </cell>
          <cell r="X16">
            <v>0</v>
          </cell>
        </row>
        <row r="17">
          <cell r="E17">
            <v>1</v>
          </cell>
          <cell r="G17">
            <v>2</v>
          </cell>
          <cell r="P17">
            <v>8</v>
          </cell>
          <cell r="R17">
            <v>8</v>
          </cell>
          <cell r="X17">
            <v>0</v>
          </cell>
        </row>
        <row r="18">
          <cell r="E18">
            <v>1</v>
          </cell>
          <cell r="G18">
            <v>2</v>
          </cell>
          <cell r="P18">
            <v>8</v>
          </cell>
          <cell r="R18">
            <v>8</v>
          </cell>
          <cell r="X18">
            <v>0</v>
          </cell>
        </row>
        <row r="19">
          <cell r="E19">
            <v>1</v>
          </cell>
          <cell r="G19">
            <v>2</v>
          </cell>
          <cell r="P19">
            <v>0</v>
          </cell>
          <cell r="R19">
            <v>0</v>
          </cell>
          <cell r="X19">
            <v>0</v>
          </cell>
        </row>
        <row r="20">
          <cell r="E20">
            <v>1</v>
          </cell>
          <cell r="G20">
            <v>2</v>
          </cell>
          <cell r="P20">
            <v>0</v>
          </cell>
          <cell r="R20">
            <v>0</v>
          </cell>
          <cell r="X20">
            <v>0</v>
          </cell>
        </row>
        <row r="21">
          <cell r="E21">
            <v>1</v>
          </cell>
          <cell r="G21">
            <v>3</v>
          </cell>
          <cell r="P21">
            <v>8</v>
          </cell>
          <cell r="R21">
            <v>8</v>
          </cell>
          <cell r="X21">
            <v>0</v>
          </cell>
        </row>
        <row r="22">
          <cell r="E22">
            <v>1</v>
          </cell>
          <cell r="G22">
            <v>3</v>
          </cell>
          <cell r="P22">
            <v>8</v>
          </cell>
          <cell r="R22">
            <v>8</v>
          </cell>
          <cell r="X22">
            <v>0</v>
          </cell>
        </row>
        <row r="23">
          <cell r="E23">
            <v>1</v>
          </cell>
          <cell r="G23">
            <v>3</v>
          </cell>
          <cell r="P23">
            <v>8</v>
          </cell>
          <cell r="R23">
            <v>8</v>
          </cell>
          <cell r="X23">
            <v>0</v>
          </cell>
        </row>
        <row r="24">
          <cell r="E24">
            <v>1</v>
          </cell>
          <cell r="G24">
            <v>3</v>
          </cell>
          <cell r="P24">
            <v>8</v>
          </cell>
          <cell r="R24">
            <v>8</v>
          </cell>
          <cell r="X24">
            <v>0</v>
          </cell>
        </row>
        <row r="25">
          <cell r="E25">
            <v>1</v>
          </cell>
          <cell r="G25">
            <v>3</v>
          </cell>
          <cell r="P25">
            <v>8</v>
          </cell>
          <cell r="R25">
            <v>8</v>
          </cell>
          <cell r="X25">
            <v>0</v>
          </cell>
        </row>
        <row r="26">
          <cell r="E26">
            <v>1</v>
          </cell>
          <cell r="G26">
            <v>3</v>
          </cell>
          <cell r="P26">
            <v>0</v>
          </cell>
          <cell r="R26">
            <v>0</v>
          </cell>
          <cell r="X26">
            <v>0</v>
          </cell>
        </row>
        <row r="27">
          <cell r="E27">
            <v>1</v>
          </cell>
          <cell r="G27">
            <v>3</v>
          </cell>
          <cell r="P27">
            <v>0</v>
          </cell>
          <cell r="R27">
            <v>0</v>
          </cell>
          <cell r="X27">
            <v>0</v>
          </cell>
        </row>
        <row r="28">
          <cell r="E28">
            <v>1</v>
          </cell>
          <cell r="G28">
            <v>4</v>
          </cell>
          <cell r="P28">
            <v>8</v>
          </cell>
          <cell r="R28">
            <v>8</v>
          </cell>
          <cell r="X28">
            <v>0</v>
          </cell>
        </row>
        <row r="29">
          <cell r="E29">
            <v>1</v>
          </cell>
          <cell r="G29">
            <v>4</v>
          </cell>
          <cell r="P29">
            <v>8</v>
          </cell>
          <cell r="R29">
            <v>8</v>
          </cell>
          <cell r="X29">
            <v>0</v>
          </cell>
        </row>
        <row r="30">
          <cell r="E30">
            <v>1</v>
          </cell>
          <cell r="G30">
            <v>4</v>
          </cell>
          <cell r="P30">
            <v>8</v>
          </cell>
          <cell r="R30">
            <v>8</v>
          </cell>
          <cell r="X30">
            <v>0</v>
          </cell>
        </row>
        <row r="31">
          <cell r="E31">
            <v>1</v>
          </cell>
          <cell r="G31">
            <v>4</v>
          </cell>
          <cell r="P31">
            <v>8</v>
          </cell>
          <cell r="R31">
            <v>8</v>
          </cell>
          <cell r="X31">
            <v>0</v>
          </cell>
        </row>
        <row r="32">
          <cell r="E32">
            <v>1</v>
          </cell>
          <cell r="G32">
            <v>4</v>
          </cell>
          <cell r="P32">
            <v>8</v>
          </cell>
          <cell r="R32">
            <v>8</v>
          </cell>
          <cell r="X32">
            <v>0</v>
          </cell>
        </row>
        <row r="33">
          <cell r="E33">
            <v>1</v>
          </cell>
          <cell r="G33">
            <v>4</v>
          </cell>
          <cell r="P33">
            <v>0</v>
          </cell>
          <cell r="R33">
            <v>0</v>
          </cell>
          <cell r="X33">
            <v>0</v>
          </cell>
        </row>
        <row r="34">
          <cell r="E34">
            <v>1</v>
          </cell>
          <cell r="G34">
            <v>4</v>
          </cell>
          <cell r="P34">
            <v>0</v>
          </cell>
          <cell r="R34">
            <v>0</v>
          </cell>
          <cell r="X34">
            <v>0</v>
          </cell>
        </row>
        <row r="35">
          <cell r="E35">
            <v>1</v>
          </cell>
          <cell r="G35">
            <v>5</v>
          </cell>
          <cell r="P35">
            <v>8</v>
          </cell>
          <cell r="R35">
            <v>8</v>
          </cell>
          <cell r="X35">
            <v>0</v>
          </cell>
        </row>
        <row r="36">
          <cell r="E36">
            <v>1</v>
          </cell>
          <cell r="G36">
            <v>5</v>
          </cell>
          <cell r="P36">
            <v>8</v>
          </cell>
          <cell r="R36">
            <v>8</v>
          </cell>
          <cell r="X36">
            <v>0</v>
          </cell>
        </row>
        <row r="37">
          <cell r="E37">
            <v>1</v>
          </cell>
          <cell r="G37">
            <v>5</v>
          </cell>
          <cell r="P37">
            <v>8</v>
          </cell>
          <cell r="R37">
            <v>8</v>
          </cell>
          <cell r="X37">
            <v>0</v>
          </cell>
        </row>
        <row r="38">
          <cell r="E38">
            <v>1</v>
          </cell>
          <cell r="G38">
            <v>5</v>
          </cell>
          <cell r="P38">
            <v>8</v>
          </cell>
          <cell r="R38">
            <v>8</v>
          </cell>
          <cell r="X38">
            <v>0</v>
          </cell>
        </row>
        <row r="39">
          <cell r="E39">
            <v>1</v>
          </cell>
          <cell r="G39">
            <v>5</v>
          </cell>
          <cell r="P39">
            <v>8</v>
          </cell>
          <cell r="R39">
            <v>8</v>
          </cell>
          <cell r="X39">
            <v>0</v>
          </cell>
        </row>
        <row r="40">
          <cell r="E40">
            <v>1</v>
          </cell>
          <cell r="G40">
            <v>5</v>
          </cell>
          <cell r="P40">
            <v>0</v>
          </cell>
          <cell r="R40">
            <v>0</v>
          </cell>
          <cell r="X40">
            <v>0</v>
          </cell>
        </row>
        <row r="41">
          <cell r="E41">
            <v>2</v>
          </cell>
          <cell r="G41">
            <v>5</v>
          </cell>
          <cell r="P41">
            <v>0</v>
          </cell>
          <cell r="R41">
            <v>0</v>
          </cell>
          <cell r="X41">
            <v>0</v>
          </cell>
        </row>
        <row r="42">
          <cell r="E42">
            <v>2</v>
          </cell>
          <cell r="G42">
            <v>6</v>
          </cell>
          <cell r="P42">
            <v>8</v>
          </cell>
          <cell r="R42">
            <v>8</v>
          </cell>
          <cell r="X42">
            <v>0</v>
          </cell>
        </row>
        <row r="43">
          <cell r="E43">
            <v>2</v>
          </cell>
          <cell r="G43">
            <v>6</v>
          </cell>
          <cell r="P43">
            <v>8</v>
          </cell>
          <cell r="R43">
            <v>8</v>
          </cell>
          <cell r="X43">
            <v>0</v>
          </cell>
        </row>
        <row r="44">
          <cell r="E44">
            <v>2</v>
          </cell>
          <cell r="G44">
            <v>6</v>
          </cell>
          <cell r="P44">
            <v>8</v>
          </cell>
          <cell r="R44">
            <v>8</v>
          </cell>
          <cell r="X44">
            <v>0</v>
          </cell>
        </row>
        <row r="45">
          <cell r="E45">
            <v>2</v>
          </cell>
          <cell r="G45">
            <v>6</v>
          </cell>
          <cell r="P45">
            <v>8</v>
          </cell>
          <cell r="R45">
            <v>8</v>
          </cell>
          <cell r="X45">
            <v>0</v>
          </cell>
        </row>
        <row r="46">
          <cell r="E46">
            <v>2</v>
          </cell>
          <cell r="G46">
            <v>6</v>
          </cell>
          <cell r="P46">
            <v>8</v>
          </cell>
          <cell r="R46">
            <v>8</v>
          </cell>
          <cell r="X46">
            <v>0</v>
          </cell>
        </row>
        <row r="47">
          <cell r="E47">
            <v>2</v>
          </cell>
          <cell r="G47">
            <v>6</v>
          </cell>
          <cell r="P47">
            <v>0</v>
          </cell>
          <cell r="R47">
            <v>0</v>
          </cell>
          <cell r="X47">
            <v>0</v>
          </cell>
        </row>
        <row r="48">
          <cell r="E48">
            <v>2</v>
          </cell>
          <cell r="G48">
            <v>6</v>
          </cell>
          <cell r="P48">
            <v>0</v>
          </cell>
          <cell r="R48">
            <v>0</v>
          </cell>
          <cell r="X48">
            <v>0</v>
          </cell>
        </row>
        <row r="49">
          <cell r="E49">
            <v>2</v>
          </cell>
          <cell r="G49">
            <v>7</v>
          </cell>
          <cell r="P49">
            <v>8</v>
          </cell>
          <cell r="R49">
            <v>8</v>
          </cell>
          <cell r="X49">
            <v>0</v>
          </cell>
        </row>
        <row r="50">
          <cell r="E50">
            <v>2</v>
          </cell>
          <cell r="G50">
            <v>7</v>
          </cell>
          <cell r="P50">
            <v>8</v>
          </cell>
          <cell r="R50">
            <v>8</v>
          </cell>
          <cell r="X50">
            <v>0</v>
          </cell>
        </row>
        <row r="51">
          <cell r="E51">
            <v>2</v>
          </cell>
          <cell r="G51">
            <v>7</v>
          </cell>
          <cell r="P51">
            <v>8</v>
          </cell>
          <cell r="R51">
            <v>8</v>
          </cell>
          <cell r="X51">
            <v>0</v>
          </cell>
        </row>
        <row r="52">
          <cell r="E52">
            <v>2</v>
          </cell>
          <cell r="G52">
            <v>7</v>
          </cell>
          <cell r="P52">
            <v>8</v>
          </cell>
          <cell r="R52">
            <v>8</v>
          </cell>
          <cell r="X52">
            <v>0</v>
          </cell>
        </row>
        <row r="53">
          <cell r="E53">
            <v>2</v>
          </cell>
          <cell r="G53">
            <v>7</v>
          </cell>
          <cell r="P53">
            <v>8</v>
          </cell>
          <cell r="R53">
            <v>8</v>
          </cell>
          <cell r="X53">
            <v>0</v>
          </cell>
        </row>
        <row r="54">
          <cell r="E54">
            <v>2</v>
          </cell>
          <cell r="G54">
            <v>7</v>
          </cell>
          <cell r="P54">
            <v>0</v>
          </cell>
          <cell r="R54">
            <v>0</v>
          </cell>
          <cell r="X54">
            <v>0</v>
          </cell>
        </row>
        <row r="55">
          <cell r="E55">
            <v>2</v>
          </cell>
          <cell r="G55">
            <v>7</v>
          </cell>
          <cell r="P55">
            <v>0</v>
          </cell>
          <cell r="R55">
            <v>0</v>
          </cell>
          <cell r="X55">
            <v>0</v>
          </cell>
        </row>
        <row r="56">
          <cell r="E56">
            <v>2</v>
          </cell>
          <cell r="G56">
            <v>8</v>
          </cell>
          <cell r="P56">
            <v>8</v>
          </cell>
          <cell r="R56">
            <v>8</v>
          </cell>
          <cell r="X56">
            <v>0</v>
          </cell>
        </row>
        <row r="57">
          <cell r="E57">
            <v>2</v>
          </cell>
          <cell r="G57">
            <v>8</v>
          </cell>
          <cell r="P57">
            <v>8</v>
          </cell>
          <cell r="R57">
            <v>8</v>
          </cell>
          <cell r="X57">
            <v>0</v>
          </cell>
        </row>
        <row r="58">
          <cell r="E58">
            <v>2</v>
          </cell>
          <cell r="G58">
            <v>8</v>
          </cell>
          <cell r="P58">
            <v>8</v>
          </cell>
          <cell r="R58">
            <v>8</v>
          </cell>
          <cell r="X58">
            <v>0</v>
          </cell>
        </row>
        <row r="59">
          <cell r="E59">
            <v>2</v>
          </cell>
          <cell r="G59">
            <v>8</v>
          </cell>
          <cell r="P59">
            <v>8</v>
          </cell>
          <cell r="R59">
            <v>8</v>
          </cell>
          <cell r="X59">
            <v>0</v>
          </cell>
        </row>
        <row r="60">
          <cell r="E60">
            <v>2</v>
          </cell>
          <cell r="G60">
            <v>8</v>
          </cell>
          <cell r="P60">
            <v>8</v>
          </cell>
          <cell r="R60">
            <v>8</v>
          </cell>
          <cell r="X60">
            <v>0</v>
          </cell>
        </row>
        <row r="61">
          <cell r="E61">
            <v>2</v>
          </cell>
          <cell r="G61">
            <v>8</v>
          </cell>
          <cell r="P61">
            <v>0</v>
          </cell>
          <cell r="R61">
            <v>0</v>
          </cell>
          <cell r="X61">
            <v>0</v>
          </cell>
        </row>
        <row r="62">
          <cell r="E62">
            <v>2</v>
          </cell>
          <cell r="G62">
            <v>8</v>
          </cell>
          <cell r="P62">
            <v>0</v>
          </cell>
          <cell r="R62">
            <v>0</v>
          </cell>
          <cell r="X62">
            <v>0</v>
          </cell>
        </row>
        <row r="63">
          <cell r="E63">
            <v>2</v>
          </cell>
          <cell r="G63">
            <v>9</v>
          </cell>
          <cell r="P63">
            <v>8</v>
          </cell>
          <cell r="R63">
            <v>8</v>
          </cell>
          <cell r="X63">
            <v>0</v>
          </cell>
        </row>
        <row r="64">
          <cell r="E64">
            <v>2</v>
          </cell>
          <cell r="G64">
            <v>9</v>
          </cell>
          <cell r="P64">
            <v>8</v>
          </cell>
          <cell r="R64">
            <v>8</v>
          </cell>
          <cell r="X64">
            <v>0</v>
          </cell>
        </row>
        <row r="65">
          <cell r="E65">
            <v>2</v>
          </cell>
          <cell r="G65">
            <v>9</v>
          </cell>
          <cell r="P65">
            <v>8</v>
          </cell>
          <cell r="R65">
            <v>8</v>
          </cell>
          <cell r="X65">
            <v>0</v>
          </cell>
        </row>
        <row r="66">
          <cell r="E66">
            <v>2</v>
          </cell>
          <cell r="G66">
            <v>9</v>
          </cell>
          <cell r="P66">
            <v>8</v>
          </cell>
          <cell r="R66">
            <v>8</v>
          </cell>
          <cell r="X66">
            <v>0</v>
          </cell>
        </row>
        <row r="67">
          <cell r="E67">
            <v>2</v>
          </cell>
          <cell r="G67">
            <v>9</v>
          </cell>
          <cell r="P67">
            <v>8</v>
          </cell>
          <cell r="R67">
            <v>8</v>
          </cell>
          <cell r="X67">
            <v>0</v>
          </cell>
        </row>
        <row r="68">
          <cell r="E68">
            <v>2</v>
          </cell>
          <cell r="G68">
            <v>9</v>
          </cell>
          <cell r="P68">
            <v>0</v>
          </cell>
          <cell r="R68">
            <v>0</v>
          </cell>
          <cell r="X68">
            <v>0</v>
          </cell>
        </row>
        <row r="69">
          <cell r="E69">
            <v>3</v>
          </cell>
          <cell r="G69">
            <v>9</v>
          </cell>
          <cell r="P69">
            <v>0</v>
          </cell>
          <cell r="R69">
            <v>0</v>
          </cell>
          <cell r="X69">
            <v>0</v>
          </cell>
        </row>
        <row r="70">
          <cell r="E70">
            <v>3</v>
          </cell>
          <cell r="G70">
            <v>10</v>
          </cell>
          <cell r="P70">
            <v>8</v>
          </cell>
          <cell r="R70">
            <v>8</v>
          </cell>
          <cell r="X70">
            <v>0</v>
          </cell>
        </row>
        <row r="71">
          <cell r="E71">
            <v>3</v>
          </cell>
          <cell r="G71">
            <v>10</v>
          </cell>
          <cell r="P71">
            <v>8</v>
          </cell>
          <cell r="R71">
            <v>8</v>
          </cell>
          <cell r="X71">
            <v>0</v>
          </cell>
        </row>
        <row r="72">
          <cell r="E72">
            <v>3</v>
          </cell>
          <cell r="G72">
            <v>10</v>
          </cell>
          <cell r="P72">
            <v>8</v>
          </cell>
          <cell r="R72">
            <v>8</v>
          </cell>
          <cell r="X72">
            <v>0</v>
          </cell>
        </row>
        <row r="73">
          <cell r="E73">
            <v>3</v>
          </cell>
          <cell r="G73">
            <v>10</v>
          </cell>
          <cell r="P73">
            <v>8</v>
          </cell>
          <cell r="R73">
            <v>8</v>
          </cell>
          <cell r="X73">
            <v>0</v>
          </cell>
        </row>
        <row r="74">
          <cell r="E74">
            <v>3</v>
          </cell>
          <cell r="G74">
            <v>10</v>
          </cell>
          <cell r="P74">
            <v>8</v>
          </cell>
          <cell r="R74">
            <v>8</v>
          </cell>
          <cell r="X74">
            <v>0</v>
          </cell>
        </row>
        <row r="75">
          <cell r="E75">
            <v>3</v>
          </cell>
          <cell r="G75">
            <v>10</v>
          </cell>
          <cell r="P75">
            <v>0</v>
          </cell>
          <cell r="R75">
            <v>0</v>
          </cell>
          <cell r="X75">
            <v>0</v>
          </cell>
        </row>
        <row r="76">
          <cell r="E76">
            <v>3</v>
          </cell>
          <cell r="G76">
            <v>10</v>
          </cell>
          <cell r="P76">
            <v>0</v>
          </cell>
          <cell r="R76">
            <v>0</v>
          </cell>
          <cell r="X76">
            <v>0</v>
          </cell>
        </row>
        <row r="77">
          <cell r="E77">
            <v>3</v>
          </cell>
          <cell r="G77">
            <v>11</v>
          </cell>
          <cell r="P77">
            <v>8</v>
          </cell>
          <cell r="R77">
            <v>8</v>
          </cell>
          <cell r="X77">
            <v>0</v>
          </cell>
        </row>
        <row r="78">
          <cell r="E78">
            <v>3</v>
          </cell>
          <cell r="G78">
            <v>11</v>
          </cell>
          <cell r="P78">
            <v>8</v>
          </cell>
          <cell r="R78">
            <v>8</v>
          </cell>
          <cell r="X78">
            <v>0</v>
          </cell>
        </row>
        <row r="79">
          <cell r="E79">
            <v>3</v>
          </cell>
          <cell r="G79">
            <v>11</v>
          </cell>
          <cell r="P79">
            <v>8</v>
          </cell>
          <cell r="R79">
            <v>8</v>
          </cell>
          <cell r="X79">
            <v>0</v>
          </cell>
        </row>
        <row r="80">
          <cell r="E80">
            <v>3</v>
          </cell>
          <cell r="G80">
            <v>11</v>
          </cell>
          <cell r="P80">
            <v>8</v>
          </cell>
          <cell r="R80">
            <v>8</v>
          </cell>
          <cell r="X80">
            <v>0</v>
          </cell>
        </row>
        <row r="81">
          <cell r="E81">
            <v>3</v>
          </cell>
          <cell r="G81">
            <v>11</v>
          </cell>
          <cell r="P81">
            <v>8</v>
          </cell>
          <cell r="R81">
            <v>8</v>
          </cell>
          <cell r="X81">
            <v>0</v>
          </cell>
        </row>
        <row r="82">
          <cell r="E82">
            <v>3</v>
          </cell>
          <cell r="G82">
            <v>11</v>
          </cell>
          <cell r="P82">
            <v>0</v>
          </cell>
          <cell r="R82">
            <v>0</v>
          </cell>
          <cell r="X82">
            <v>0</v>
          </cell>
        </row>
        <row r="83">
          <cell r="E83">
            <v>3</v>
          </cell>
          <cell r="G83">
            <v>11</v>
          </cell>
          <cell r="P83">
            <v>0</v>
          </cell>
          <cell r="R83">
            <v>0</v>
          </cell>
          <cell r="X83">
            <v>0</v>
          </cell>
        </row>
        <row r="84">
          <cell r="E84">
            <v>3</v>
          </cell>
          <cell r="G84">
            <v>12</v>
          </cell>
          <cell r="P84">
            <v>8</v>
          </cell>
          <cell r="R84">
            <v>8</v>
          </cell>
          <cell r="X84">
            <v>0</v>
          </cell>
        </row>
        <row r="85">
          <cell r="E85">
            <v>3</v>
          </cell>
          <cell r="G85">
            <v>12</v>
          </cell>
          <cell r="P85">
            <v>8</v>
          </cell>
          <cell r="R85">
            <v>8</v>
          </cell>
          <cell r="X85">
            <v>0</v>
          </cell>
        </row>
        <row r="86">
          <cell r="E86">
            <v>3</v>
          </cell>
          <cell r="G86">
            <v>12</v>
          </cell>
          <cell r="P86">
            <v>8</v>
          </cell>
          <cell r="R86">
            <v>8</v>
          </cell>
          <cell r="X86">
            <v>0</v>
          </cell>
        </row>
        <row r="87">
          <cell r="E87">
            <v>3</v>
          </cell>
          <cell r="G87">
            <v>12</v>
          </cell>
          <cell r="P87">
            <v>8</v>
          </cell>
          <cell r="R87">
            <v>8</v>
          </cell>
          <cell r="X87">
            <v>0</v>
          </cell>
        </row>
        <row r="88">
          <cell r="E88">
            <v>3</v>
          </cell>
          <cell r="G88">
            <v>12</v>
          </cell>
          <cell r="P88">
            <v>8</v>
          </cell>
          <cell r="R88">
            <v>8</v>
          </cell>
          <cell r="X88">
            <v>0</v>
          </cell>
        </row>
        <row r="89">
          <cell r="E89">
            <v>3</v>
          </cell>
          <cell r="G89">
            <v>12</v>
          </cell>
          <cell r="P89">
            <v>0</v>
          </cell>
          <cell r="R89">
            <v>0</v>
          </cell>
          <cell r="X89">
            <v>0</v>
          </cell>
        </row>
        <row r="90">
          <cell r="E90">
            <v>3</v>
          </cell>
          <cell r="G90">
            <v>12</v>
          </cell>
          <cell r="P90">
            <v>0</v>
          </cell>
          <cell r="R90">
            <v>0</v>
          </cell>
          <cell r="X90">
            <v>0</v>
          </cell>
        </row>
        <row r="91">
          <cell r="E91">
            <v>3</v>
          </cell>
          <cell r="G91">
            <v>13</v>
          </cell>
          <cell r="P91">
            <v>8</v>
          </cell>
          <cell r="R91">
            <v>8</v>
          </cell>
          <cell r="X91">
            <v>0</v>
          </cell>
        </row>
        <row r="92">
          <cell r="E92">
            <v>3</v>
          </cell>
          <cell r="G92">
            <v>13</v>
          </cell>
          <cell r="P92">
            <v>8</v>
          </cell>
          <cell r="R92">
            <v>8</v>
          </cell>
          <cell r="X92">
            <v>0</v>
          </cell>
        </row>
        <row r="93">
          <cell r="E93">
            <v>3</v>
          </cell>
          <cell r="G93">
            <v>13</v>
          </cell>
          <cell r="P93">
            <v>8</v>
          </cell>
          <cell r="R93">
            <v>8</v>
          </cell>
          <cell r="X93">
            <v>0</v>
          </cell>
        </row>
        <row r="94">
          <cell r="E94">
            <v>3</v>
          </cell>
          <cell r="G94">
            <v>13</v>
          </cell>
          <cell r="P94">
            <v>8</v>
          </cell>
          <cell r="R94">
            <v>8</v>
          </cell>
          <cell r="X94">
            <v>0</v>
          </cell>
        </row>
        <row r="95">
          <cell r="E95">
            <v>3</v>
          </cell>
          <cell r="G95">
            <v>13</v>
          </cell>
          <cell r="P95">
            <v>8</v>
          </cell>
          <cell r="R95">
            <v>8</v>
          </cell>
          <cell r="X95">
            <v>0</v>
          </cell>
        </row>
        <row r="96">
          <cell r="E96">
            <v>3</v>
          </cell>
          <cell r="G96">
            <v>13</v>
          </cell>
          <cell r="P96">
            <v>0</v>
          </cell>
          <cell r="R96">
            <v>0</v>
          </cell>
          <cell r="X96">
            <v>0</v>
          </cell>
        </row>
        <row r="97">
          <cell r="E97">
            <v>3</v>
          </cell>
          <cell r="G97">
            <v>13</v>
          </cell>
          <cell r="P97">
            <v>0</v>
          </cell>
          <cell r="R97">
            <v>0</v>
          </cell>
          <cell r="X97">
            <v>0</v>
          </cell>
        </row>
        <row r="98">
          <cell r="E98">
            <v>3</v>
          </cell>
          <cell r="G98">
            <v>14</v>
          </cell>
          <cell r="P98">
            <v>8</v>
          </cell>
          <cell r="R98">
            <v>8</v>
          </cell>
          <cell r="X98">
            <v>0</v>
          </cell>
        </row>
        <row r="99">
          <cell r="E99">
            <v>3</v>
          </cell>
          <cell r="G99">
            <v>14</v>
          </cell>
          <cell r="P99">
            <v>8</v>
          </cell>
          <cell r="R99">
            <v>8</v>
          </cell>
          <cell r="X99">
            <v>0</v>
          </cell>
        </row>
        <row r="100">
          <cell r="E100">
            <v>4</v>
          </cell>
          <cell r="G100">
            <v>14</v>
          </cell>
          <cell r="P100">
            <v>8</v>
          </cell>
          <cell r="R100">
            <v>8</v>
          </cell>
          <cell r="X100">
            <v>0</v>
          </cell>
        </row>
        <row r="101">
          <cell r="E101">
            <v>4</v>
          </cell>
          <cell r="G101">
            <v>14</v>
          </cell>
          <cell r="P101">
            <v>8</v>
          </cell>
          <cell r="R101">
            <v>8</v>
          </cell>
          <cell r="X101">
            <v>0</v>
          </cell>
        </row>
        <row r="102">
          <cell r="E102">
            <v>4</v>
          </cell>
          <cell r="G102">
            <v>14</v>
          </cell>
          <cell r="P102">
            <v>8</v>
          </cell>
          <cell r="R102">
            <v>8</v>
          </cell>
          <cell r="X102">
            <v>0</v>
          </cell>
        </row>
        <row r="103">
          <cell r="E103">
            <v>4</v>
          </cell>
          <cell r="G103">
            <v>14</v>
          </cell>
          <cell r="P103">
            <v>0</v>
          </cell>
          <cell r="R103">
            <v>0</v>
          </cell>
          <cell r="X103">
            <v>0</v>
          </cell>
        </row>
        <row r="104">
          <cell r="E104">
            <v>4</v>
          </cell>
          <cell r="G104">
            <v>14</v>
          </cell>
          <cell r="P104">
            <v>0</v>
          </cell>
          <cell r="R104">
            <v>0</v>
          </cell>
          <cell r="X104">
            <v>0</v>
          </cell>
        </row>
        <row r="105">
          <cell r="E105">
            <v>4</v>
          </cell>
          <cell r="G105">
            <v>15</v>
          </cell>
          <cell r="P105">
            <v>8</v>
          </cell>
          <cell r="R105">
            <v>8</v>
          </cell>
          <cell r="X105">
            <v>0</v>
          </cell>
        </row>
        <row r="106">
          <cell r="E106">
            <v>4</v>
          </cell>
          <cell r="G106">
            <v>15</v>
          </cell>
          <cell r="P106">
            <v>8</v>
          </cell>
          <cell r="R106">
            <v>8</v>
          </cell>
          <cell r="X106">
            <v>0</v>
          </cell>
        </row>
        <row r="107">
          <cell r="E107">
            <v>4</v>
          </cell>
          <cell r="G107">
            <v>15</v>
          </cell>
          <cell r="P107">
            <v>8</v>
          </cell>
          <cell r="R107">
            <v>8</v>
          </cell>
          <cell r="X107">
            <v>0</v>
          </cell>
        </row>
        <row r="108">
          <cell r="E108">
            <v>4</v>
          </cell>
          <cell r="G108">
            <v>15</v>
          </cell>
          <cell r="P108">
            <v>8</v>
          </cell>
          <cell r="R108">
            <v>8</v>
          </cell>
          <cell r="X108">
            <v>0</v>
          </cell>
        </row>
        <row r="109">
          <cell r="E109">
            <v>4</v>
          </cell>
          <cell r="G109">
            <v>15</v>
          </cell>
          <cell r="P109">
            <v>8</v>
          </cell>
          <cell r="R109">
            <v>8</v>
          </cell>
          <cell r="X109">
            <v>0</v>
          </cell>
        </row>
        <row r="110">
          <cell r="E110">
            <v>4</v>
          </cell>
          <cell r="G110">
            <v>15</v>
          </cell>
          <cell r="P110">
            <v>0</v>
          </cell>
          <cell r="R110">
            <v>0</v>
          </cell>
          <cell r="X110">
            <v>0</v>
          </cell>
        </row>
        <row r="111">
          <cell r="E111">
            <v>4</v>
          </cell>
          <cell r="G111">
            <v>15</v>
          </cell>
          <cell r="P111">
            <v>0</v>
          </cell>
          <cell r="R111">
            <v>0</v>
          </cell>
          <cell r="X111">
            <v>0</v>
          </cell>
        </row>
        <row r="112">
          <cell r="E112">
            <v>4</v>
          </cell>
          <cell r="G112">
            <v>16</v>
          </cell>
          <cell r="P112">
            <v>8</v>
          </cell>
          <cell r="R112">
            <v>8</v>
          </cell>
          <cell r="X112">
            <v>0</v>
          </cell>
        </row>
        <row r="113">
          <cell r="E113">
            <v>4</v>
          </cell>
          <cell r="G113">
            <v>16</v>
          </cell>
          <cell r="P113">
            <v>8</v>
          </cell>
          <cell r="R113">
            <v>8</v>
          </cell>
          <cell r="X113">
            <v>0</v>
          </cell>
        </row>
        <row r="114">
          <cell r="E114">
            <v>4</v>
          </cell>
          <cell r="G114">
            <v>16</v>
          </cell>
          <cell r="P114">
            <v>8</v>
          </cell>
          <cell r="R114">
            <v>8</v>
          </cell>
          <cell r="X114">
            <v>0</v>
          </cell>
        </row>
        <row r="115">
          <cell r="E115">
            <v>4</v>
          </cell>
          <cell r="G115">
            <v>16</v>
          </cell>
          <cell r="P115">
            <v>8</v>
          </cell>
          <cell r="R115">
            <v>8</v>
          </cell>
          <cell r="X115">
            <v>0</v>
          </cell>
        </row>
        <row r="116">
          <cell r="E116">
            <v>4</v>
          </cell>
          <cell r="G116">
            <v>16</v>
          </cell>
          <cell r="P116">
            <v>8</v>
          </cell>
          <cell r="R116">
            <v>8</v>
          </cell>
          <cell r="X116">
            <v>0</v>
          </cell>
        </row>
        <row r="117">
          <cell r="E117">
            <v>4</v>
          </cell>
          <cell r="G117">
            <v>16</v>
          </cell>
          <cell r="P117">
            <v>0</v>
          </cell>
          <cell r="R117">
            <v>0</v>
          </cell>
          <cell r="X117">
            <v>0</v>
          </cell>
        </row>
        <row r="118">
          <cell r="E118">
            <v>4</v>
          </cell>
          <cell r="G118">
            <v>16</v>
          </cell>
          <cell r="P118">
            <v>0</v>
          </cell>
          <cell r="R118">
            <v>0</v>
          </cell>
          <cell r="X118">
            <v>0</v>
          </cell>
        </row>
        <row r="119">
          <cell r="E119">
            <v>4</v>
          </cell>
          <cell r="G119">
            <v>17</v>
          </cell>
          <cell r="P119">
            <v>8</v>
          </cell>
          <cell r="R119">
            <v>8</v>
          </cell>
          <cell r="X119">
            <v>0</v>
          </cell>
        </row>
        <row r="120">
          <cell r="E120">
            <v>4</v>
          </cell>
          <cell r="G120">
            <v>17</v>
          </cell>
          <cell r="P120">
            <v>8</v>
          </cell>
          <cell r="R120">
            <v>8</v>
          </cell>
          <cell r="X120">
            <v>0</v>
          </cell>
        </row>
        <row r="121">
          <cell r="E121">
            <v>4</v>
          </cell>
          <cell r="G121">
            <v>17</v>
          </cell>
          <cell r="P121">
            <v>8</v>
          </cell>
          <cell r="R121">
            <v>8</v>
          </cell>
          <cell r="X121">
            <v>0</v>
          </cell>
        </row>
        <row r="122">
          <cell r="E122">
            <v>4</v>
          </cell>
          <cell r="G122">
            <v>17</v>
          </cell>
          <cell r="P122">
            <v>8</v>
          </cell>
          <cell r="R122">
            <v>8</v>
          </cell>
          <cell r="X122">
            <v>0</v>
          </cell>
        </row>
        <row r="123">
          <cell r="E123">
            <v>4</v>
          </cell>
          <cell r="G123">
            <v>17</v>
          </cell>
          <cell r="P123">
            <v>8</v>
          </cell>
          <cell r="R123">
            <v>8</v>
          </cell>
          <cell r="X123">
            <v>0</v>
          </cell>
        </row>
        <row r="124">
          <cell r="E124">
            <v>4</v>
          </cell>
          <cell r="G124">
            <v>17</v>
          </cell>
          <cell r="P124">
            <v>0</v>
          </cell>
          <cell r="R124">
            <v>0</v>
          </cell>
          <cell r="X124">
            <v>0</v>
          </cell>
        </row>
        <row r="125">
          <cell r="E125">
            <v>4</v>
          </cell>
          <cell r="G125">
            <v>17</v>
          </cell>
          <cell r="P125">
            <v>0</v>
          </cell>
          <cell r="R125">
            <v>0</v>
          </cell>
          <cell r="X125">
            <v>0</v>
          </cell>
        </row>
        <row r="126">
          <cell r="E126">
            <v>4</v>
          </cell>
          <cell r="G126">
            <v>18</v>
          </cell>
          <cell r="P126">
            <v>8</v>
          </cell>
          <cell r="R126">
            <v>8</v>
          </cell>
          <cell r="X126">
            <v>0</v>
          </cell>
        </row>
        <row r="127">
          <cell r="E127">
            <v>4</v>
          </cell>
          <cell r="G127">
            <v>18</v>
          </cell>
          <cell r="P127">
            <v>8</v>
          </cell>
          <cell r="R127">
            <v>8</v>
          </cell>
          <cell r="X127">
            <v>0</v>
          </cell>
        </row>
        <row r="128">
          <cell r="E128">
            <v>4</v>
          </cell>
          <cell r="G128">
            <v>18</v>
          </cell>
          <cell r="P128">
            <v>8</v>
          </cell>
          <cell r="R128">
            <v>8</v>
          </cell>
          <cell r="X128">
            <v>0</v>
          </cell>
        </row>
        <row r="129">
          <cell r="E129">
            <v>4</v>
          </cell>
          <cell r="G129">
            <v>18</v>
          </cell>
          <cell r="P129">
            <v>8</v>
          </cell>
          <cell r="R129">
            <v>8</v>
          </cell>
          <cell r="X129">
            <v>0</v>
          </cell>
        </row>
        <row r="130">
          <cell r="E130">
            <v>5</v>
          </cell>
          <cell r="G130">
            <v>18</v>
          </cell>
          <cell r="P130">
            <v>8</v>
          </cell>
          <cell r="R130">
            <v>8</v>
          </cell>
          <cell r="X130">
            <v>0</v>
          </cell>
        </row>
        <row r="131">
          <cell r="E131">
            <v>5</v>
          </cell>
          <cell r="G131">
            <v>18</v>
          </cell>
          <cell r="P131">
            <v>0</v>
          </cell>
          <cell r="R131">
            <v>0</v>
          </cell>
          <cell r="X131">
            <v>0</v>
          </cell>
        </row>
        <row r="132">
          <cell r="E132">
            <v>5</v>
          </cell>
          <cell r="G132">
            <v>18</v>
          </cell>
          <cell r="P132">
            <v>0</v>
          </cell>
          <cell r="R132">
            <v>0</v>
          </cell>
          <cell r="X132">
            <v>0</v>
          </cell>
        </row>
        <row r="133">
          <cell r="E133">
            <v>5</v>
          </cell>
          <cell r="G133">
            <v>19</v>
          </cell>
          <cell r="P133">
            <v>8</v>
          </cell>
          <cell r="R133">
            <v>8</v>
          </cell>
          <cell r="X133">
            <v>0</v>
          </cell>
        </row>
        <row r="134">
          <cell r="E134">
            <v>5</v>
          </cell>
          <cell r="G134">
            <v>19</v>
          </cell>
          <cell r="P134">
            <v>8</v>
          </cell>
          <cell r="R134">
            <v>8</v>
          </cell>
          <cell r="X134">
            <v>0</v>
          </cell>
        </row>
        <row r="135">
          <cell r="E135">
            <v>5</v>
          </cell>
          <cell r="G135">
            <v>19</v>
          </cell>
          <cell r="P135">
            <v>8</v>
          </cell>
          <cell r="R135">
            <v>8</v>
          </cell>
          <cell r="X135">
            <v>0</v>
          </cell>
        </row>
        <row r="136">
          <cell r="E136">
            <v>5</v>
          </cell>
          <cell r="G136">
            <v>19</v>
          </cell>
          <cell r="P136">
            <v>8</v>
          </cell>
          <cell r="R136">
            <v>8</v>
          </cell>
          <cell r="X136">
            <v>0</v>
          </cell>
        </row>
        <row r="137">
          <cell r="E137">
            <v>5</v>
          </cell>
          <cell r="G137">
            <v>19</v>
          </cell>
          <cell r="P137">
            <v>8</v>
          </cell>
          <cell r="R137">
            <v>8</v>
          </cell>
          <cell r="X137">
            <v>0</v>
          </cell>
        </row>
        <row r="138">
          <cell r="E138">
            <v>5</v>
          </cell>
          <cell r="G138">
            <v>19</v>
          </cell>
          <cell r="P138">
            <v>0</v>
          </cell>
          <cell r="R138">
            <v>0</v>
          </cell>
          <cell r="X138">
            <v>0</v>
          </cell>
        </row>
        <row r="139">
          <cell r="E139">
            <v>5</v>
          </cell>
          <cell r="G139">
            <v>19</v>
          </cell>
          <cell r="P139">
            <v>0</v>
          </cell>
          <cell r="R139">
            <v>0</v>
          </cell>
          <cell r="X139">
            <v>0</v>
          </cell>
        </row>
        <row r="140">
          <cell r="E140">
            <v>5</v>
          </cell>
          <cell r="G140">
            <v>20</v>
          </cell>
          <cell r="P140">
            <v>8</v>
          </cell>
          <cell r="R140">
            <v>8</v>
          </cell>
          <cell r="X140">
            <v>0</v>
          </cell>
        </row>
        <row r="141">
          <cell r="E141">
            <v>5</v>
          </cell>
          <cell r="G141">
            <v>20</v>
          </cell>
          <cell r="P141">
            <v>8</v>
          </cell>
          <cell r="R141">
            <v>8</v>
          </cell>
          <cell r="X141">
            <v>0</v>
          </cell>
        </row>
        <row r="142">
          <cell r="E142">
            <v>5</v>
          </cell>
          <cell r="G142">
            <v>20</v>
          </cell>
          <cell r="P142">
            <v>8</v>
          </cell>
          <cell r="R142">
            <v>8</v>
          </cell>
          <cell r="X142">
            <v>0</v>
          </cell>
        </row>
        <row r="143">
          <cell r="E143">
            <v>5</v>
          </cell>
          <cell r="G143">
            <v>20</v>
          </cell>
          <cell r="P143">
            <v>8</v>
          </cell>
          <cell r="R143">
            <v>8</v>
          </cell>
          <cell r="X143">
            <v>0</v>
          </cell>
        </row>
        <row r="144">
          <cell r="E144">
            <v>5</v>
          </cell>
          <cell r="G144">
            <v>20</v>
          </cell>
          <cell r="P144">
            <v>8</v>
          </cell>
          <cell r="R144">
            <v>8</v>
          </cell>
          <cell r="X144">
            <v>0</v>
          </cell>
        </row>
        <row r="145">
          <cell r="E145">
            <v>5</v>
          </cell>
          <cell r="G145">
            <v>20</v>
          </cell>
          <cell r="P145">
            <v>0</v>
          </cell>
          <cell r="R145">
            <v>0</v>
          </cell>
          <cell r="X145">
            <v>0</v>
          </cell>
        </row>
        <row r="146">
          <cell r="E146">
            <v>5</v>
          </cell>
          <cell r="G146">
            <v>20</v>
          </cell>
          <cell r="P146">
            <v>0</v>
          </cell>
          <cell r="R146">
            <v>0</v>
          </cell>
          <cell r="X146">
            <v>0</v>
          </cell>
        </row>
        <row r="147">
          <cell r="E147">
            <v>5</v>
          </cell>
          <cell r="G147">
            <v>21</v>
          </cell>
          <cell r="P147">
            <v>8</v>
          </cell>
          <cell r="R147">
            <v>8</v>
          </cell>
          <cell r="X147">
            <v>0</v>
          </cell>
        </row>
        <row r="148">
          <cell r="E148">
            <v>5</v>
          </cell>
          <cell r="G148">
            <v>21</v>
          </cell>
          <cell r="P148">
            <v>8</v>
          </cell>
          <cell r="R148">
            <v>8</v>
          </cell>
          <cell r="X148">
            <v>0</v>
          </cell>
        </row>
        <row r="149">
          <cell r="E149">
            <v>5</v>
          </cell>
          <cell r="G149">
            <v>21</v>
          </cell>
          <cell r="P149">
            <v>8</v>
          </cell>
          <cell r="R149">
            <v>8</v>
          </cell>
          <cell r="X149">
            <v>0</v>
          </cell>
        </row>
        <row r="150">
          <cell r="E150">
            <v>5</v>
          </cell>
          <cell r="G150">
            <v>21</v>
          </cell>
          <cell r="P150">
            <v>8</v>
          </cell>
          <cell r="R150">
            <v>8</v>
          </cell>
          <cell r="X150">
            <v>0</v>
          </cell>
        </row>
        <row r="151">
          <cell r="E151">
            <v>5</v>
          </cell>
          <cell r="G151">
            <v>21</v>
          </cell>
          <cell r="P151">
            <v>8</v>
          </cell>
          <cell r="R151">
            <v>8</v>
          </cell>
          <cell r="X151">
            <v>0</v>
          </cell>
        </row>
        <row r="152">
          <cell r="E152">
            <v>5</v>
          </cell>
          <cell r="G152">
            <v>21</v>
          </cell>
          <cell r="P152">
            <v>0</v>
          </cell>
          <cell r="R152">
            <v>0</v>
          </cell>
          <cell r="X152">
            <v>0</v>
          </cell>
        </row>
        <row r="153">
          <cell r="E153">
            <v>5</v>
          </cell>
          <cell r="G153">
            <v>21</v>
          </cell>
          <cell r="P153">
            <v>0</v>
          </cell>
          <cell r="R153">
            <v>0</v>
          </cell>
          <cell r="X153">
            <v>0</v>
          </cell>
        </row>
        <row r="154">
          <cell r="E154">
            <v>5</v>
          </cell>
          <cell r="G154">
            <v>22</v>
          </cell>
          <cell r="P154">
            <v>8</v>
          </cell>
          <cell r="R154">
            <v>8</v>
          </cell>
          <cell r="X154">
            <v>0</v>
          </cell>
        </row>
        <row r="155">
          <cell r="E155">
            <v>5</v>
          </cell>
          <cell r="G155">
            <v>22</v>
          </cell>
          <cell r="P155">
            <v>8</v>
          </cell>
          <cell r="R155">
            <v>8</v>
          </cell>
          <cell r="X155">
            <v>0</v>
          </cell>
        </row>
        <row r="156">
          <cell r="E156">
            <v>5</v>
          </cell>
          <cell r="G156">
            <v>22</v>
          </cell>
          <cell r="P156">
            <v>8</v>
          </cell>
          <cell r="R156">
            <v>8</v>
          </cell>
          <cell r="X156">
            <v>0</v>
          </cell>
        </row>
        <row r="157">
          <cell r="E157">
            <v>5</v>
          </cell>
          <cell r="G157">
            <v>22</v>
          </cell>
          <cell r="P157">
            <v>8</v>
          </cell>
          <cell r="R157">
            <v>8</v>
          </cell>
          <cell r="X157">
            <v>0</v>
          </cell>
        </row>
        <row r="158">
          <cell r="E158">
            <v>5</v>
          </cell>
          <cell r="G158">
            <v>22</v>
          </cell>
          <cell r="P158">
            <v>8</v>
          </cell>
          <cell r="R158">
            <v>8</v>
          </cell>
          <cell r="X158">
            <v>0</v>
          </cell>
        </row>
        <row r="159">
          <cell r="E159">
            <v>5</v>
          </cell>
          <cell r="G159">
            <v>22</v>
          </cell>
          <cell r="P159">
            <v>0</v>
          </cell>
          <cell r="R159">
            <v>0</v>
          </cell>
          <cell r="X159">
            <v>0</v>
          </cell>
        </row>
        <row r="160">
          <cell r="E160">
            <v>5</v>
          </cell>
          <cell r="G160">
            <v>22</v>
          </cell>
          <cell r="P160">
            <v>0</v>
          </cell>
          <cell r="R160">
            <v>0</v>
          </cell>
          <cell r="X160">
            <v>0</v>
          </cell>
        </row>
        <row r="161">
          <cell r="E161">
            <v>6</v>
          </cell>
          <cell r="G161">
            <v>23</v>
          </cell>
          <cell r="P161">
            <v>8</v>
          </cell>
          <cell r="R161">
            <v>8</v>
          </cell>
          <cell r="X161">
            <v>0</v>
          </cell>
        </row>
        <row r="162">
          <cell r="E162">
            <v>6</v>
          </cell>
          <cell r="G162">
            <v>23</v>
          </cell>
          <cell r="P162">
            <v>8</v>
          </cell>
          <cell r="R162">
            <v>8</v>
          </cell>
          <cell r="X162">
            <v>0</v>
          </cell>
        </row>
        <row r="163">
          <cell r="E163">
            <v>6</v>
          </cell>
          <cell r="G163">
            <v>23</v>
          </cell>
          <cell r="P163">
            <v>8</v>
          </cell>
          <cell r="R163">
            <v>8</v>
          </cell>
          <cell r="X163">
            <v>0</v>
          </cell>
        </row>
        <row r="164">
          <cell r="E164">
            <v>6</v>
          </cell>
          <cell r="G164">
            <v>23</v>
          </cell>
          <cell r="P164">
            <v>8</v>
          </cell>
          <cell r="R164">
            <v>8</v>
          </cell>
          <cell r="X164">
            <v>0</v>
          </cell>
        </row>
        <row r="165">
          <cell r="E165">
            <v>6</v>
          </cell>
          <cell r="G165">
            <v>23</v>
          </cell>
          <cell r="P165">
            <v>8</v>
          </cell>
          <cell r="R165">
            <v>8</v>
          </cell>
          <cell r="X165">
            <v>0</v>
          </cell>
        </row>
        <row r="166">
          <cell r="E166">
            <v>6</v>
          </cell>
          <cell r="G166">
            <v>23</v>
          </cell>
          <cell r="P166">
            <v>0</v>
          </cell>
          <cell r="R166">
            <v>0</v>
          </cell>
          <cell r="X166">
            <v>0</v>
          </cell>
        </row>
        <row r="167">
          <cell r="E167">
            <v>6</v>
          </cell>
          <cell r="G167">
            <v>23</v>
          </cell>
          <cell r="P167">
            <v>0</v>
          </cell>
          <cell r="R167">
            <v>0</v>
          </cell>
          <cell r="X167">
            <v>0</v>
          </cell>
        </row>
        <row r="168">
          <cell r="E168">
            <v>6</v>
          </cell>
          <cell r="G168">
            <v>24</v>
          </cell>
          <cell r="P168">
            <v>8</v>
          </cell>
          <cell r="R168">
            <v>8</v>
          </cell>
          <cell r="X168">
            <v>0</v>
          </cell>
        </row>
        <row r="169">
          <cell r="E169">
            <v>6</v>
          </cell>
          <cell r="G169">
            <v>24</v>
          </cell>
          <cell r="P169">
            <v>8</v>
          </cell>
          <cell r="R169">
            <v>8</v>
          </cell>
          <cell r="X169">
            <v>0</v>
          </cell>
        </row>
        <row r="170">
          <cell r="E170">
            <v>6</v>
          </cell>
          <cell r="G170">
            <v>24</v>
          </cell>
          <cell r="P170">
            <v>8</v>
          </cell>
          <cell r="R170">
            <v>8</v>
          </cell>
          <cell r="X170">
            <v>0</v>
          </cell>
        </row>
        <row r="171">
          <cell r="E171">
            <v>6</v>
          </cell>
          <cell r="G171">
            <v>24</v>
          </cell>
          <cell r="P171">
            <v>8</v>
          </cell>
          <cell r="R171">
            <v>8</v>
          </cell>
          <cell r="X171">
            <v>0</v>
          </cell>
        </row>
        <row r="172">
          <cell r="E172">
            <v>6</v>
          </cell>
          <cell r="G172">
            <v>24</v>
          </cell>
          <cell r="P172">
            <v>8</v>
          </cell>
          <cell r="R172">
            <v>8</v>
          </cell>
          <cell r="X172">
            <v>0</v>
          </cell>
        </row>
        <row r="173">
          <cell r="E173">
            <v>6</v>
          </cell>
          <cell r="G173">
            <v>24</v>
          </cell>
          <cell r="P173">
            <v>0</v>
          </cell>
          <cell r="R173">
            <v>0</v>
          </cell>
          <cell r="X173">
            <v>0</v>
          </cell>
        </row>
        <row r="174">
          <cell r="E174">
            <v>6</v>
          </cell>
          <cell r="G174">
            <v>24</v>
          </cell>
          <cell r="P174">
            <v>0</v>
          </cell>
          <cell r="R174">
            <v>0</v>
          </cell>
          <cell r="X174">
            <v>0</v>
          </cell>
        </row>
        <row r="175">
          <cell r="E175">
            <v>6</v>
          </cell>
          <cell r="G175">
            <v>25</v>
          </cell>
          <cell r="P175">
            <v>8</v>
          </cell>
          <cell r="R175">
            <v>8</v>
          </cell>
          <cell r="X175">
            <v>0</v>
          </cell>
        </row>
        <row r="176">
          <cell r="E176">
            <v>6</v>
          </cell>
          <cell r="G176">
            <v>25</v>
          </cell>
          <cell r="P176">
            <v>8</v>
          </cell>
          <cell r="R176">
            <v>8</v>
          </cell>
          <cell r="X176">
            <v>0</v>
          </cell>
        </row>
        <row r="177">
          <cell r="E177">
            <v>6</v>
          </cell>
          <cell r="G177">
            <v>25</v>
          </cell>
          <cell r="P177">
            <v>8</v>
          </cell>
          <cell r="R177">
            <v>8</v>
          </cell>
          <cell r="X177">
            <v>0</v>
          </cell>
        </row>
        <row r="178">
          <cell r="E178">
            <v>6</v>
          </cell>
          <cell r="G178">
            <v>25</v>
          </cell>
          <cell r="P178">
            <v>8</v>
          </cell>
          <cell r="R178">
            <v>8</v>
          </cell>
          <cell r="X178">
            <v>0</v>
          </cell>
        </row>
        <row r="179">
          <cell r="E179">
            <v>6</v>
          </cell>
          <cell r="G179">
            <v>25</v>
          </cell>
          <cell r="P179">
            <v>8</v>
          </cell>
          <cell r="R179">
            <v>8</v>
          </cell>
          <cell r="X179">
            <v>0</v>
          </cell>
        </row>
        <row r="180">
          <cell r="E180">
            <v>6</v>
          </cell>
          <cell r="G180">
            <v>25</v>
          </cell>
          <cell r="P180">
            <v>0</v>
          </cell>
          <cell r="R180">
            <v>0</v>
          </cell>
          <cell r="X180">
            <v>0</v>
          </cell>
        </row>
        <row r="181">
          <cell r="E181">
            <v>6</v>
          </cell>
          <cell r="G181">
            <v>25</v>
          </cell>
          <cell r="P181">
            <v>0</v>
          </cell>
          <cell r="R181">
            <v>0</v>
          </cell>
          <cell r="X181">
            <v>0</v>
          </cell>
        </row>
        <row r="182">
          <cell r="E182">
            <v>6</v>
          </cell>
          <cell r="G182">
            <v>26</v>
          </cell>
          <cell r="P182">
            <v>8</v>
          </cell>
          <cell r="R182">
            <v>8</v>
          </cell>
          <cell r="X182">
            <v>0</v>
          </cell>
        </row>
        <row r="183">
          <cell r="E183">
            <v>6</v>
          </cell>
          <cell r="G183">
            <v>26</v>
          </cell>
          <cell r="P183">
            <v>8</v>
          </cell>
          <cell r="R183">
            <v>8</v>
          </cell>
          <cell r="X183">
            <v>0</v>
          </cell>
        </row>
        <row r="184">
          <cell r="E184">
            <v>6</v>
          </cell>
          <cell r="G184">
            <v>26</v>
          </cell>
          <cell r="P184">
            <v>8</v>
          </cell>
          <cell r="R184">
            <v>8</v>
          </cell>
          <cell r="X184">
            <v>0</v>
          </cell>
        </row>
        <row r="185">
          <cell r="E185">
            <v>6</v>
          </cell>
          <cell r="G185">
            <v>26</v>
          </cell>
          <cell r="P185">
            <v>8</v>
          </cell>
          <cell r="R185">
            <v>8</v>
          </cell>
          <cell r="X185">
            <v>0</v>
          </cell>
        </row>
        <row r="186">
          <cell r="E186">
            <v>6</v>
          </cell>
          <cell r="G186">
            <v>26</v>
          </cell>
          <cell r="P186">
            <v>8</v>
          </cell>
          <cell r="R186">
            <v>8</v>
          </cell>
          <cell r="X186">
            <v>0</v>
          </cell>
        </row>
        <row r="187">
          <cell r="E187">
            <v>6</v>
          </cell>
          <cell r="G187">
            <v>26</v>
          </cell>
          <cell r="P187">
            <v>0</v>
          </cell>
          <cell r="R187">
            <v>0</v>
          </cell>
          <cell r="X187">
            <v>0</v>
          </cell>
        </row>
        <row r="188">
          <cell r="E188">
            <v>6</v>
          </cell>
          <cell r="G188">
            <v>26</v>
          </cell>
          <cell r="P188">
            <v>0</v>
          </cell>
          <cell r="R188">
            <v>0</v>
          </cell>
          <cell r="X188">
            <v>0</v>
          </cell>
        </row>
        <row r="189">
          <cell r="E189">
            <v>6</v>
          </cell>
          <cell r="G189">
            <v>27</v>
          </cell>
          <cell r="P189">
            <v>8</v>
          </cell>
          <cell r="R189">
            <v>8</v>
          </cell>
          <cell r="X189">
            <v>0</v>
          </cell>
        </row>
        <row r="190">
          <cell r="E190">
            <v>6</v>
          </cell>
          <cell r="G190">
            <v>27</v>
          </cell>
          <cell r="P190">
            <v>8</v>
          </cell>
          <cell r="R190">
            <v>8</v>
          </cell>
          <cell r="X190">
            <v>0</v>
          </cell>
        </row>
        <row r="191">
          <cell r="E191">
            <v>7</v>
          </cell>
          <cell r="G191">
            <v>27</v>
          </cell>
          <cell r="P191">
            <v>8</v>
          </cell>
          <cell r="R191">
            <v>8</v>
          </cell>
          <cell r="X191">
            <v>0</v>
          </cell>
        </row>
        <row r="192">
          <cell r="E192">
            <v>7</v>
          </cell>
          <cell r="G192">
            <v>27</v>
          </cell>
          <cell r="P192">
            <v>8</v>
          </cell>
          <cell r="R192">
            <v>8</v>
          </cell>
          <cell r="X192">
            <v>0</v>
          </cell>
        </row>
        <row r="193">
          <cell r="E193">
            <v>7</v>
          </cell>
          <cell r="G193">
            <v>27</v>
          </cell>
          <cell r="P193">
            <v>8</v>
          </cell>
          <cell r="R193">
            <v>8</v>
          </cell>
          <cell r="X193">
            <v>0</v>
          </cell>
        </row>
        <row r="194">
          <cell r="E194">
            <v>7</v>
          </cell>
          <cell r="G194">
            <v>27</v>
          </cell>
          <cell r="P194">
            <v>0</v>
          </cell>
          <cell r="R194">
            <v>0</v>
          </cell>
          <cell r="X194">
            <v>0</v>
          </cell>
        </row>
        <row r="195">
          <cell r="E195">
            <v>7</v>
          </cell>
          <cell r="G195">
            <v>27</v>
          </cell>
          <cell r="P195">
            <v>0</v>
          </cell>
          <cell r="R195">
            <v>0</v>
          </cell>
          <cell r="X195">
            <v>0</v>
          </cell>
        </row>
        <row r="196">
          <cell r="E196">
            <v>7</v>
          </cell>
          <cell r="G196">
            <v>28</v>
          </cell>
          <cell r="P196">
            <v>8</v>
          </cell>
          <cell r="R196">
            <v>8</v>
          </cell>
          <cell r="X196">
            <v>0</v>
          </cell>
        </row>
        <row r="197">
          <cell r="E197">
            <v>7</v>
          </cell>
          <cell r="G197">
            <v>28</v>
          </cell>
          <cell r="P197">
            <v>8</v>
          </cell>
          <cell r="R197">
            <v>8</v>
          </cell>
          <cell r="X197">
            <v>0</v>
          </cell>
        </row>
        <row r="198">
          <cell r="E198">
            <v>7</v>
          </cell>
          <cell r="G198">
            <v>28</v>
          </cell>
          <cell r="P198">
            <v>8</v>
          </cell>
          <cell r="R198">
            <v>8</v>
          </cell>
          <cell r="X198">
            <v>0</v>
          </cell>
        </row>
        <row r="199">
          <cell r="E199">
            <v>7</v>
          </cell>
          <cell r="G199">
            <v>28</v>
          </cell>
          <cell r="P199">
            <v>8</v>
          </cell>
          <cell r="R199">
            <v>8</v>
          </cell>
          <cell r="X199">
            <v>0</v>
          </cell>
        </row>
        <row r="200">
          <cell r="E200">
            <v>7</v>
          </cell>
          <cell r="G200">
            <v>28</v>
          </cell>
          <cell r="P200">
            <v>8</v>
          </cell>
          <cell r="R200">
            <v>8</v>
          </cell>
          <cell r="X200">
            <v>0</v>
          </cell>
        </row>
        <row r="201">
          <cell r="E201">
            <v>7</v>
          </cell>
          <cell r="G201">
            <v>28</v>
          </cell>
          <cell r="P201">
            <v>0</v>
          </cell>
          <cell r="R201">
            <v>0</v>
          </cell>
          <cell r="X201">
            <v>0</v>
          </cell>
        </row>
        <row r="202">
          <cell r="E202">
            <v>7</v>
          </cell>
          <cell r="G202">
            <v>28</v>
          </cell>
          <cell r="P202">
            <v>0</v>
          </cell>
          <cell r="R202">
            <v>0</v>
          </cell>
          <cell r="X202">
            <v>0</v>
          </cell>
        </row>
        <row r="203">
          <cell r="E203">
            <v>7</v>
          </cell>
          <cell r="G203">
            <v>29</v>
          </cell>
          <cell r="P203">
            <v>8</v>
          </cell>
          <cell r="R203">
            <v>8</v>
          </cell>
          <cell r="X203">
            <v>0</v>
          </cell>
        </row>
        <row r="204">
          <cell r="E204">
            <v>7</v>
          </cell>
          <cell r="G204">
            <v>29</v>
          </cell>
          <cell r="P204">
            <v>8</v>
          </cell>
          <cell r="R204">
            <v>8</v>
          </cell>
          <cell r="X204">
            <v>0</v>
          </cell>
        </row>
        <row r="205">
          <cell r="E205">
            <v>7</v>
          </cell>
          <cell r="G205">
            <v>29</v>
          </cell>
          <cell r="P205">
            <v>8</v>
          </cell>
          <cell r="R205">
            <v>8</v>
          </cell>
          <cell r="X205">
            <v>0</v>
          </cell>
        </row>
        <row r="206">
          <cell r="E206">
            <v>7</v>
          </cell>
          <cell r="G206">
            <v>29</v>
          </cell>
          <cell r="P206">
            <v>8</v>
          </cell>
          <cell r="R206">
            <v>8</v>
          </cell>
          <cell r="X206">
            <v>0</v>
          </cell>
        </row>
        <row r="207">
          <cell r="E207">
            <v>7</v>
          </cell>
          <cell r="G207">
            <v>29</v>
          </cell>
          <cell r="P207">
            <v>8</v>
          </cell>
          <cell r="R207">
            <v>8</v>
          </cell>
          <cell r="X207">
            <v>0</v>
          </cell>
        </row>
        <row r="208">
          <cell r="E208">
            <v>7</v>
          </cell>
          <cell r="G208">
            <v>29</v>
          </cell>
          <cell r="P208">
            <v>0</v>
          </cell>
          <cell r="R208">
            <v>0</v>
          </cell>
          <cell r="X208">
            <v>0</v>
          </cell>
        </row>
        <row r="209">
          <cell r="E209">
            <v>7</v>
          </cell>
          <cell r="G209">
            <v>29</v>
          </cell>
          <cell r="P209">
            <v>0</v>
          </cell>
          <cell r="R209">
            <v>0</v>
          </cell>
          <cell r="X209">
            <v>0</v>
          </cell>
        </row>
        <row r="210">
          <cell r="E210">
            <v>7</v>
          </cell>
          <cell r="G210">
            <v>30</v>
          </cell>
          <cell r="P210">
            <v>8</v>
          </cell>
          <cell r="R210">
            <v>8</v>
          </cell>
          <cell r="X210">
            <v>0</v>
          </cell>
        </row>
        <row r="211">
          <cell r="E211">
            <v>7</v>
          </cell>
          <cell r="G211">
            <v>30</v>
          </cell>
          <cell r="P211">
            <v>8</v>
          </cell>
          <cell r="R211">
            <v>8</v>
          </cell>
          <cell r="X211">
            <v>0</v>
          </cell>
        </row>
        <row r="212">
          <cell r="E212">
            <v>7</v>
          </cell>
          <cell r="G212">
            <v>30</v>
          </cell>
          <cell r="P212">
            <v>8</v>
          </cell>
          <cell r="R212">
            <v>8</v>
          </cell>
          <cell r="X212">
            <v>0</v>
          </cell>
        </row>
        <row r="213">
          <cell r="E213">
            <v>7</v>
          </cell>
          <cell r="G213">
            <v>30</v>
          </cell>
          <cell r="P213">
            <v>8</v>
          </cell>
          <cell r="R213">
            <v>8</v>
          </cell>
          <cell r="X213">
            <v>0</v>
          </cell>
        </row>
        <row r="214">
          <cell r="E214">
            <v>7</v>
          </cell>
          <cell r="G214">
            <v>30</v>
          </cell>
          <cell r="P214">
            <v>8</v>
          </cell>
          <cell r="R214">
            <v>8</v>
          </cell>
          <cell r="X214">
            <v>0</v>
          </cell>
        </row>
        <row r="215">
          <cell r="E215">
            <v>7</v>
          </cell>
          <cell r="G215">
            <v>30</v>
          </cell>
          <cell r="P215">
            <v>0</v>
          </cell>
          <cell r="R215">
            <v>0</v>
          </cell>
          <cell r="X215">
            <v>0</v>
          </cell>
        </row>
        <row r="216">
          <cell r="E216">
            <v>7</v>
          </cell>
          <cell r="G216">
            <v>30</v>
          </cell>
          <cell r="P216">
            <v>0</v>
          </cell>
          <cell r="R216">
            <v>0</v>
          </cell>
          <cell r="X216">
            <v>0</v>
          </cell>
        </row>
        <row r="217">
          <cell r="E217">
            <v>7</v>
          </cell>
          <cell r="G217">
            <v>31</v>
          </cell>
          <cell r="P217">
            <v>8</v>
          </cell>
          <cell r="R217">
            <v>8</v>
          </cell>
          <cell r="X217">
            <v>0</v>
          </cell>
        </row>
        <row r="218">
          <cell r="E218">
            <v>7</v>
          </cell>
          <cell r="G218">
            <v>31</v>
          </cell>
          <cell r="P218">
            <v>8</v>
          </cell>
          <cell r="R218">
            <v>8</v>
          </cell>
          <cell r="X218">
            <v>0</v>
          </cell>
        </row>
        <row r="219">
          <cell r="E219">
            <v>7</v>
          </cell>
          <cell r="G219">
            <v>31</v>
          </cell>
          <cell r="P219">
            <v>8</v>
          </cell>
          <cell r="R219">
            <v>8</v>
          </cell>
          <cell r="X219">
            <v>0</v>
          </cell>
        </row>
        <row r="220">
          <cell r="E220">
            <v>7</v>
          </cell>
          <cell r="G220">
            <v>31</v>
          </cell>
          <cell r="P220">
            <v>8</v>
          </cell>
          <cell r="R220">
            <v>8</v>
          </cell>
          <cell r="X220">
            <v>0</v>
          </cell>
        </row>
        <row r="221">
          <cell r="E221">
            <v>7</v>
          </cell>
          <cell r="G221">
            <v>31</v>
          </cell>
          <cell r="P221">
            <v>8</v>
          </cell>
          <cell r="R221">
            <v>8</v>
          </cell>
          <cell r="X221">
            <v>0</v>
          </cell>
        </row>
        <row r="222">
          <cell r="E222">
            <v>8</v>
          </cell>
          <cell r="G222">
            <v>31</v>
          </cell>
          <cell r="P222">
            <v>0</v>
          </cell>
          <cell r="R222">
            <v>0</v>
          </cell>
          <cell r="X222">
            <v>0</v>
          </cell>
        </row>
        <row r="223">
          <cell r="E223">
            <v>8</v>
          </cell>
          <cell r="G223">
            <v>31</v>
          </cell>
          <cell r="P223">
            <v>0</v>
          </cell>
          <cell r="R223">
            <v>0</v>
          </cell>
          <cell r="X223">
            <v>0</v>
          </cell>
        </row>
        <row r="224">
          <cell r="E224">
            <v>8</v>
          </cell>
          <cell r="G224">
            <v>32</v>
          </cell>
          <cell r="P224">
            <v>8</v>
          </cell>
          <cell r="R224">
            <v>8</v>
          </cell>
          <cell r="X224">
            <v>0</v>
          </cell>
        </row>
        <row r="225">
          <cell r="E225">
            <v>8</v>
          </cell>
          <cell r="G225">
            <v>32</v>
          </cell>
          <cell r="P225">
            <v>8</v>
          </cell>
          <cell r="R225">
            <v>8</v>
          </cell>
          <cell r="X225">
            <v>0</v>
          </cell>
        </row>
        <row r="226">
          <cell r="E226">
            <v>8</v>
          </cell>
          <cell r="G226">
            <v>32</v>
          </cell>
          <cell r="P226">
            <v>8</v>
          </cell>
          <cell r="R226">
            <v>8</v>
          </cell>
          <cell r="X226">
            <v>0</v>
          </cell>
        </row>
        <row r="227">
          <cell r="E227">
            <v>8</v>
          </cell>
          <cell r="G227">
            <v>32</v>
          </cell>
          <cell r="P227">
            <v>8</v>
          </cell>
          <cell r="R227">
            <v>8</v>
          </cell>
          <cell r="X227">
            <v>0</v>
          </cell>
        </row>
        <row r="228">
          <cell r="E228">
            <v>8</v>
          </cell>
          <cell r="G228">
            <v>32</v>
          </cell>
          <cell r="P228">
            <v>8</v>
          </cell>
          <cell r="R228">
            <v>8</v>
          </cell>
          <cell r="X228">
            <v>0</v>
          </cell>
        </row>
        <row r="229">
          <cell r="E229">
            <v>8</v>
          </cell>
          <cell r="G229">
            <v>32</v>
          </cell>
          <cell r="P229">
            <v>0</v>
          </cell>
          <cell r="R229">
            <v>0</v>
          </cell>
          <cell r="X229">
            <v>0</v>
          </cell>
        </row>
        <row r="230">
          <cell r="E230">
            <v>8</v>
          </cell>
          <cell r="G230">
            <v>32</v>
          </cell>
          <cell r="P230">
            <v>0</v>
          </cell>
          <cell r="R230">
            <v>0</v>
          </cell>
          <cell r="X230">
            <v>0</v>
          </cell>
        </row>
        <row r="231">
          <cell r="E231">
            <v>8</v>
          </cell>
          <cell r="G231">
            <v>33</v>
          </cell>
          <cell r="P231">
            <v>8</v>
          </cell>
          <cell r="R231">
            <v>8</v>
          </cell>
          <cell r="X231">
            <v>0</v>
          </cell>
        </row>
        <row r="232">
          <cell r="E232">
            <v>8</v>
          </cell>
          <cell r="G232">
            <v>33</v>
          </cell>
          <cell r="P232">
            <v>8</v>
          </cell>
          <cell r="R232">
            <v>8</v>
          </cell>
          <cell r="X232">
            <v>0</v>
          </cell>
        </row>
        <row r="233">
          <cell r="E233">
            <v>8</v>
          </cell>
          <cell r="G233">
            <v>33</v>
          </cell>
          <cell r="P233">
            <v>8</v>
          </cell>
          <cell r="R233">
            <v>8</v>
          </cell>
          <cell r="X233">
            <v>0</v>
          </cell>
        </row>
        <row r="234">
          <cell r="E234">
            <v>8</v>
          </cell>
          <cell r="G234">
            <v>33</v>
          </cell>
          <cell r="P234">
            <v>8</v>
          </cell>
          <cell r="R234">
            <v>8</v>
          </cell>
          <cell r="X234">
            <v>0</v>
          </cell>
        </row>
        <row r="235">
          <cell r="E235">
            <v>8</v>
          </cell>
          <cell r="G235">
            <v>33</v>
          </cell>
          <cell r="P235">
            <v>8</v>
          </cell>
          <cell r="R235">
            <v>8</v>
          </cell>
          <cell r="X235">
            <v>0</v>
          </cell>
        </row>
        <row r="236">
          <cell r="E236">
            <v>8</v>
          </cell>
          <cell r="G236">
            <v>33</v>
          </cell>
          <cell r="P236">
            <v>0</v>
          </cell>
          <cell r="R236">
            <v>0</v>
          </cell>
          <cell r="X236">
            <v>0</v>
          </cell>
        </row>
        <row r="237">
          <cell r="E237">
            <v>8</v>
          </cell>
          <cell r="G237">
            <v>33</v>
          </cell>
          <cell r="P237">
            <v>0</v>
          </cell>
          <cell r="R237">
            <v>0</v>
          </cell>
          <cell r="X237">
            <v>0</v>
          </cell>
        </row>
        <row r="238">
          <cell r="E238">
            <v>8</v>
          </cell>
          <cell r="G238">
            <v>34</v>
          </cell>
          <cell r="P238">
            <v>8</v>
          </cell>
          <cell r="R238">
            <v>8</v>
          </cell>
          <cell r="X238">
            <v>0</v>
          </cell>
        </row>
        <row r="239">
          <cell r="E239">
            <v>8</v>
          </cell>
          <cell r="G239">
            <v>34</v>
          </cell>
          <cell r="P239">
            <v>8</v>
          </cell>
          <cell r="R239">
            <v>8</v>
          </cell>
          <cell r="X239">
            <v>0</v>
          </cell>
        </row>
        <row r="240">
          <cell r="E240">
            <v>8</v>
          </cell>
          <cell r="G240">
            <v>34</v>
          </cell>
          <cell r="P240">
            <v>8</v>
          </cell>
          <cell r="R240">
            <v>8</v>
          </cell>
          <cell r="X240">
            <v>0</v>
          </cell>
        </row>
        <row r="241">
          <cell r="E241">
            <v>8</v>
          </cell>
          <cell r="G241">
            <v>34</v>
          </cell>
          <cell r="P241">
            <v>8</v>
          </cell>
          <cell r="R241">
            <v>8</v>
          </cell>
          <cell r="X241">
            <v>0</v>
          </cell>
        </row>
        <row r="242">
          <cell r="E242">
            <v>8</v>
          </cell>
          <cell r="G242">
            <v>34</v>
          </cell>
          <cell r="P242">
            <v>8</v>
          </cell>
          <cell r="R242">
            <v>8</v>
          </cell>
          <cell r="X242">
            <v>0</v>
          </cell>
        </row>
        <row r="243">
          <cell r="E243">
            <v>8</v>
          </cell>
          <cell r="G243">
            <v>34</v>
          </cell>
          <cell r="P243">
            <v>0</v>
          </cell>
          <cell r="R243">
            <v>0</v>
          </cell>
          <cell r="X243">
            <v>0</v>
          </cell>
        </row>
        <row r="244">
          <cell r="E244">
            <v>8</v>
          </cell>
          <cell r="G244">
            <v>34</v>
          </cell>
          <cell r="P244">
            <v>0</v>
          </cell>
          <cell r="R244">
            <v>0</v>
          </cell>
          <cell r="X244">
            <v>0</v>
          </cell>
        </row>
        <row r="245">
          <cell r="E245">
            <v>8</v>
          </cell>
          <cell r="G245">
            <v>35</v>
          </cell>
          <cell r="P245">
            <v>8</v>
          </cell>
          <cell r="R245">
            <v>8</v>
          </cell>
          <cell r="X245">
            <v>0</v>
          </cell>
        </row>
        <row r="246">
          <cell r="E246">
            <v>8</v>
          </cell>
          <cell r="G246">
            <v>35</v>
          </cell>
          <cell r="P246">
            <v>8</v>
          </cell>
          <cell r="R246">
            <v>8</v>
          </cell>
          <cell r="X246">
            <v>0</v>
          </cell>
        </row>
        <row r="247">
          <cell r="E247">
            <v>8</v>
          </cell>
          <cell r="G247">
            <v>35</v>
          </cell>
          <cell r="P247">
            <v>8</v>
          </cell>
          <cell r="R247">
            <v>8</v>
          </cell>
          <cell r="X247">
            <v>0</v>
          </cell>
        </row>
        <row r="248">
          <cell r="E248">
            <v>8</v>
          </cell>
          <cell r="G248">
            <v>35</v>
          </cell>
          <cell r="P248">
            <v>8</v>
          </cell>
          <cell r="R248">
            <v>8</v>
          </cell>
          <cell r="X248">
            <v>0</v>
          </cell>
        </row>
        <row r="249">
          <cell r="E249">
            <v>8</v>
          </cell>
          <cell r="G249">
            <v>35</v>
          </cell>
          <cell r="P249">
            <v>8</v>
          </cell>
          <cell r="R249">
            <v>8</v>
          </cell>
          <cell r="X249">
            <v>0</v>
          </cell>
        </row>
        <row r="250">
          <cell r="E250">
            <v>8</v>
          </cell>
          <cell r="G250">
            <v>35</v>
          </cell>
          <cell r="P250">
            <v>0</v>
          </cell>
          <cell r="R250">
            <v>0</v>
          </cell>
          <cell r="X250">
            <v>0</v>
          </cell>
        </row>
        <row r="251">
          <cell r="E251">
            <v>8</v>
          </cell>
          <cell r="G251">
            <v>35</v>
          </cell>
          <cell r="P251">
            <v>0</v>
          </cell>
          <cell r="R251">
            <v>0</v>
          </cell>
          <cell r="X251">
            <v>0</v>
          </cell>
        </row>
        <row r="252">
          <cell r="E252">
            <v>8</v>
          </cell>
          <cell r="G252">
            <v>36</v>
          </cell>
          <cell r="P252">
            <v>8</v>
          </cell>
          <cell r="R252">
            <v>8</v>
          </cell>
          <cell r="X252">
            <v>0</v>
          </cell>
        </row>
        <row r="253">
          <cell r="E253">
            <v>9</v>
          </cell>
          <cell r="G253">
            <v>36</v>
          </cell>
          <cell r="P253">
            <v>8</v>
          </cell>
          <cell r="R253">
            <v>8</v>
          </cell>
          <cell r="X253">
            <v>0</v>
          </cell>
        </row>
        <row r="254">
          <cell r="E254">
            <v>9</v>
          </cell>
          <cell r="G254">
            <v>36</v>
          </cell>
          <cell r="P254">
            <v>8</v>
          </cell>
          <cell r="R254">
            <v>8</v>
          </cell>
          <cell r="X254">
            <v>0</v>
          </cell>
        </row>
        <row r="255">
          <cell r="E255">
            <v>9</v>
          </cell>
          <cell r="G255">
            <v>36</v>
          </cell>
          <cell r="P255">
            <v>8</v>
          </cell>
          <cell r="R255">
            <v>8</v>
          </cell>
          <cell r="X255">
            <v>0</v>
          </cell>
        </row>
        <row r="256">
          <cell r="E256">
            <v>9</v>
          </cell>
          <cell r="G256">
            <v>36</v>
          </cell>
          <cell r="P256">
            <v>8</v>
          </cell>
          <cell r="R256">
            <v>8</v>
          </cell>
          <cell r="X256">
            <v>0</v>
          </cell>
        </row>
        <row r="257">
          <cell r="E257">
            <v>9</v>
          </cell>
          <cell r="G257">
            <v>36</v>
          </cell>
          <cell r="P257">
            <v>0</v>
          </cell>
          <cell r="R257">
            <v>0</v>
          </cell>
          <cell r="X257">
            <v>0</v>
          </cell>
        </row>
        <row r="258">
          <cell r="E258">
            <v>9</v>
          </cell>
          <cell r="G258">
            <v>36</v>
          </cell>
          <cell r="P258">
            <v>0</v>
          </cell>
          <cell r="R258">
            <v>0</v>
          </cell>
          <cell r="X258">
            <v>0</v>
          </cell>
        </row>
        <row r="259">
          <cell r="E259">
            <v>9</v>
          </cell>
          <cell r="G259">
            <v>37</v>
          </cell>
          <cell r="P259">
            <v>8</v>
          </cell>
          <cell r="R259">
            <v>8</v>
          </cell>
          <cell r="X259">
            <v>0</v>
          </cell>
        </row>
        <row r="260">
          <cell r="E260">
            <v>9</v>
          </cell>
          <cell r="G260">
            <v>37</v>
          </cell>
          <cell r="P260">
            <v>8</v>
          </cell>
          <cell r="R260">
            <v>8</v>
          </cell>
          <cell r="X260">
            <v>0</v>
          </cell>
        </row>
        <row r="261">
          <cell r="E261">
            <v>9</v>
          </cell>
          <cell r="G261">
            <v>37</v>
          </cell>
          <cell r="P261">
            <v>8</v>
          </cell>
          <cell r="R261">
            <v>8</v>
          </cell>
          <cell r="X261">
            <v>0</v>
          </cell>
        </row>
        <row r="262">
          <cell r="E262">
            <v>9</v>
          </cell>
          <cell r="G262">
            <v>37</v>
          </cell>
          <cell r="P262">
            <v>8</v>
          </cell>
          <cell r="R262">
            <v>8</v>
          </cell>
          <cell r="X262">
            <v>0</v>
          </cell>
        </row>
        <row r="263">
          <cell r="E263">
            <v>9</v>
          </cell>
          <cell r="G263">
            <v>37</v>
          </cell>
          <cell r="P263">
            <v>8</v>
          </cell>
          <cell r="R263">
            <v>8</v>
          </cell>
          <cell r="X263">
            <v>0</v>
          </cell>
        </row>
        <row r="264">
          <cell r="E264">
            <v>9</v>
          </cell>
          <cell r="G264">
            <v>37</v>
          </cell>
          <cell r="P264">
            <v>0</v>
          </cell>
          <cell r="R264">
            <v>0</v>
          </cell>
          <cell r="X264">
            <v>0</v>
          </cell>
        </row>
        <row r="265">
          <cell r="E265">
            <v>9</v>
          </cell>
          <cell r="G265">
            <v>37</v>
          </cell>
          <cell r="P265">
            <v>0</v>
          </cell>
          <cell r="R265">
            <v>0</v>
          </cell>
          <cell r="X265">
            <v>0</v>
          </cell>
        </row>
        <row r="266">
          <cell r="E266">
            <v>9</v>
          </cell>
          <cell r="G266">
            <v>38</v>
          </cell>
          <cell r="P266">
            <v>8</v>
          </cell>
          <cell r="R266">
            <v>8</v>
          </cell>
          <cell r="X266">
            <v>0</v>
          </cell>
        </row>
        <row r="267">
          <cell r="E267">
            <v>9</v>
          </cell>
          <cell r="G267">
            <v>38</v>
          </cell>
          <cell r="P267">
            <v>8</v>
          </cell>
          <cell r="R267">
            <v>8</v>
          </cell>
          <cell r="X267">
            <v>0</v>
          </cell>
        </row>
        <row r="268">
          <cell r="E268">
            <v>9</v>
          </cell>
          <cell r="G268">
            <v>38</v>
          </cell>
          <cell r="P268">
            <v>8</v>
          </cell>
          <cell r="R268">
            <v>8</v>
          </cell>
          <cell r="X268">
            <v>0</v>
          </cell>
        </row>
        <row r="269">
          <cell r="E269">
            <v>9</v>
          </cell>
          <cell r="G269">
            <v>38</v>
          </cell>
          <cell r="P269">
            <v>8</v>
          </cell>
          <cell r="R269">
            <v>8</v>
          </cell>
          <cell r="X269">
            <v>0</v>
          </cell>
        </row>
        <row r="270">
          <cell r="E270">
            <v>9</v>
          </cell>
          <cell r="G270">
            <v>38</v>
          </cell>
          <cell r="P270">
            <v>8</v>
          </cell>
          <cell r="R270">
            <v>8</v>
          </cell>
          <cell r="X270">
            <v>0</v>
          </cell>
        </row>
        <row r="271">
          <cell r="E271">
            <v>9</v>
          </cell>
          <cell r="G271">
            <v>38</v>
          </cell>
          <cell r="P271">
            <v>0</v>
          </cell>
          <cell r="R271">
            <v>0</v>
          </cell>
          <cell r="X271">
            <v>0</v>
          </cell>
        </row>
        <row r="272">
          <cell r="E272">
            <v>9</v>
          </cell>
          <cell r="G272">
            <v>38</v>
          </cell>
          <cell r="P272">
            <v>0</v>
          </cell>
          <cell r="R272">
            <v>0</v>
          </cell>
          <cell r="X272">
            <v>0</v>
          </cell>
        </row>
        <row r="273">
          <cell r="E273">
            <v>9</v>
          </cell>
          <cell r="G273">
            <v>39</v>
          </cell>
          <cell r="P273">
            <v>8</v>
          </cell>
          <cell r="R273">
            <v>8</v>
          </cell>
          <cell r="X273">
            <v>0</v>
          </cell>
        </row>
        <row r="274">
          <cell r="E274">
            <v>9</v>
          </cell>
          <cell r="G274">
            <v>39</v>
          </cell>
          <cell r="P274">
            <v>8</v>
          </cell>
          <cell r="R274">
            <v>8</v>
          </cell>
          <cell r="X274">
            <v>0</v>
          </cell>
        </row>
        <row r="275">
          <cell r="E275">
            <v>9</v>
          </cell>
          <cell r="G275">
            <v>39</v>
          </cell>
          <cell r="P275">
            <v>8</v>
          </cell>
          <cell r="R275">
            <v>8</v>
          </cell>
          <cell r="X275">
            <v>0</v>
          </cell>
        </row>
        <row r="276">
          <cell r="E276">
            <v>9</v>
          </cell>
          <cell r="G276">
            <v>39</v>
          </cell>
          <cell r="P276">
            <v>8</v>
          </cell>
          <cell r="R276">
            <v>8</v>
          </cell>
          <cell r="X276">
            <v>0</v>
          </cell>
        </row>
        <row r="277">
          <cell r="E277">
            <v>9</v>
          </cell>
          <cell r="G277">
            <v>39</v>
          </cell>
          <cell r="P277">
            <v>8</v>
          </cell>
          <cell r="R277">
            <v>8</v>
          </cell>
          <cell r="X277">
            <v>0</v>
          </cell>
        </row>
        <row r="278">
          <cell r="E278">
            <v>9</v>
          </cell>
          <cell r="G278">
            <v>39</v>
          </cell>
          <cell r="P278">
            <v>0</v>
          </cell>
          <cell r="R278">
            <v>0</v>
          </cell>
          <cell r="X278">
            <v>0</v>
          </cell>
        </row>
        <row r="279">
          <cell r="E279">
            <v>9</v>
          </cell>
          <cell r="G279">
            <v>39</v>
          </cell>
          <cell r="P279">
            <v>0</v>
          </cell>
          <cell r="R279">
            <v>0</v>
          </cell>
          <cell r="X279">
            <v>0</v>
          </cell>
        </row>
        <row r="280">
          <cell r="E280">
            <v>9</v>
          </cell>
          <cell r="G280">
            <v>40</v>
          </cell>
          <cell r="P280">
            <v>8</v>
          </cell>
          <cell r="R280">
            <v>8</v>
          </cell>
          <cell r="X280">
            <v>0</v>
          </cell>
        </row>
        <row r="281">
          <cell r="E281">
            <v>9</v>
          </cell>
          <cell r="G281">
            <v>40</v>
          </cell>
          <cell r="P281">
            <v>8</v>
          </cell>
          <cell r="R281">
            <v>8</v>
          </cell>
          <cell r="X281">
            <v>0</v>
          </cell>
        </row>
        <row r="282">
          <cell r="E282">
            <v>9</v>
          </cell>
          <cell r="G282">
            <v>40</v>
          </cell>
          <cell r="P282">
            <v>8</v>
          </cell>
          <cell r="R282">
            <v>8</v>
          </cell>
          <cell r="X282">
            <v>0</v>
          </cell>
        </row>
        <row r="283">
          <cell r="E283">
            <v>10</v>
          </cell>
          <cell r="G283">
            <v>40</v>
          </cell>
          <cell r="P283">
            <v>8</v>
          </cell>
          <cell r="R283">
            <v>8</v>
          </cell>
          <cell r="X283">
            <v>0</v>
          </cell>
        </row>
        <row r="284">
          <cell r="E284">
            <v>10</v>
          </cell>
          <cell r="G284">
            <v>40</v>
          </cell>
          <cell r="P284">
            <v>8</v>
          </cell>
          <cell r="R284">
            <v>8</v>
          </cell>
          <cell r="X284">
            <v>0</v>
          </cell>
        </row>
        <row r="285">
          <cell r="E285">
            <v>10</v>
          </cell>
          <cell r="G285">
            <v>40</v>
          </cell>
          <cell r="P285">
            <v>0</v>
          </cell>
          <cell r="R285">
            <v>0</v>
          </cell>
          <cell r="X285">
            <v>0</v>
          </cell>
        </row>
        <row r="286">
          <cell r="E286">
            <v>10</v>
          </cell>
          <cell r="G286">
            <v>40</v>
          </cell>
          <cell r="P286">
            <v>0</v>
          </cell>
          <cell r="R286">
            <v>0</v>
          </cell>
          <cell r="X286">
            <v>0</v>
          </cell>
        </row>
        <row r="287">
          <cell r="E287">
            <v>10</v>
          </cell>
          <cell r="G287">
            <v>41</v>
          </cell>
          <cell r="P287">
            <v>8</v>
          </cell>
          <cell r="R287">
            <v>8</v>
          </cell>
          <cell r="X287">
            <v>0</v>
          </cell>
        </row>
        <row r="288">
          <cell r="E288">
            <v>10</v>
          </cell>
          <cell r="G288">
            <v>41</v>
          </cell>
          <cell r="P288">
            <v>8</v>
          </cell>
          <cell r="R288">
            <v>8</v>
          </cell>
          <cell r="X288">
            <v>0</v>
          </cell>
        </row>
        <row r="289">
          <cell r="E289">
            <v>10</v>
          </cell>
          <cell r="G289">
            <v>41</v>
          </cell>
          <cell r="P289">
            <v>8</v>
          </cell>
          <cell r="R289">
            <v>8</v>
          </cell>
          <cell r="X289">
            <v>0</v>
          </cell>
        </row>
        <row r="290">
          <cell r="E290">
            <v>10</v>
          </cell>
          <cell r="G290">
            <v>41</v>
          </cell>
          <cell r="P290">
            <v>8</v>
          </cell>
          <cell r="R290">
            <v>8</v>
          </cell>
          <cell r="X290">
            <v>0</v>
          </cell>
        </row>
        <row r="291">
          <cell r="E291">
            <v>10</v>
          </cell>
          <cell r="G291">
            <v>41</v>
          </cell>
          <cell r="P291">
            <v>8</v>
          </cell>
          <cell r="R291">
            <v>8</v>
          </cell>
          <cell r="X291">
            <v>0</v>
          </cell>
        </row>
        <row r="292">
          <cell r="E292">
            <v>10</v>
          </cell>
          <cell r="G292">
            <v>41</v>
          </cell>
          <cell r="P292">
            <v>0</v>
          </cell>
          <cell r="R292">
            <v>0</v>
          </cell>
          <cell r="X292">
            <v>0</v>
          </cell>
        </row>
        <row r="293">
          <cell r="E293">
            <v>10</v>
          </cell>
          <cell r="G293">
            <v>41</v>
          </cell>
          <cell r="P293">
            <v>0</v>
          </cell>
          <cell r="R293">
            <v>0</v>
          </cell>
          <cell r="X293">
            <v>0</v>
          </cell>
        </row>
        <row r="294">
          <cell r="E294">
            <v>10</v>
          </cell>
          <cell r="G294">
            <v>42</v>
          </cell>
          <cell r="P294">
            <v>8</v>
          </cell>
          <cell r="R294">
            <v>8</v>
          </cell>
          <cell r="X294">
            <v>0</v>
          </cell>
        </row>
        <row r="295">
          <cell r="E295">
            <v>10</v>
          </cell>
          <cell r="G295">
            <v>42</v>
          </cell>
          <cell r="P295">
            <v>8</v>
          </cell>
          <cell r="R295">
            <v>8</v>
          </cell>
          <cell r="X295">
            <v>0</v>
          </cell>
        </row>
        <row r="296">
          <cell r="E296">
            <v>10</v>
          </cell>
          <cell r="G296">
            <v>42</v>
          </cell>
          <cell r="P296">
            <v>8</v>
          </cell>
          <cell r="R296">
            <v>8</v>
          </cell>
          <cell r="X296">
            <v>0</v>
          </cell>
        </row>
        <row r="297">
          <cell r="E297">
            <v>10</v>
          </cell>
          <cell r="G297">
            <v>42</v>
          </cell>
          <cell r="P297">
            <v>8</v>
          </cell>
          <cell r="R297">
            <v>8</v>
          </cell>
          <cell r="X297">
            <v>0</v>
          </cell>
        </row>
        <row r="298">
          <cell r="E298">
            <v>10</v>
          </cell>
          <cell r="G298">
            <v>42</v>
          </cell>
          <cell r="P298">
            <v>8</v>
          </cell>
          <cell r="R298">
            <v>8</v>
          </cell>
          <cell r="X298">
            <v>0</v>
          </cell>
        </row>
        <row r="299">
          <cell r="E299">
            <v>10</v>
          </cell>
          <cell r="G299">
            <v>42</v>
          </cell>
          <cell r="P299">
            <v>0</v>
          </cell>
          <cell r="R299">
            <v>0</v>
          </cell>
          <cell r="X299">
            <v>0</v>
          </cell>
        </row>
        <row r="300">
          <cell r="E300">
            <v>10</v>
          </cell>
          <cell r="G300">
            <v>42</v>
          </cell>
          <cell r="P300">
            <v>0</v>
          </cell>
          <cell r="R300">
            <v>0</v>
          </cell>
          <cell r="X300">
            <v>0</v>
          </cell>
        </row>
        <row r="301">
          <cell r="E301">
            <v>10</v>
          </cell>
          <cell r="G301">
            <v>43</v>
          </cell>
          <cell r="P301">
            <v>8</v>
          </cell>
          <cell r="R301">
            <v>8</v>
          </cell>
          <cell r="X301">
            <v>0</v>
          </cell>
        </row>
        <row r="302">
          <cell r="E302">
            <v>10</v>
          </cell>
          <cell r="G302">
            <v>43</v>
          </cell>
          <cell r="P302">
            <v>8</v>
          </cell>
          <cell r="R302">
            <v>8</v>
          </cell>
          <cell r="X302">
            <v>0</v>
          </cell>
        </row>
        <row r="303">
          <cell r="E303">
            <v>10</v>
          </cell>
          <cell r="G303">
            <v>43</v>
          </cell>
          <cell r="P303">
            <v>8</v>
          </cell>
          <cell r="R303">
            <v>8</v>
          </cell>
          <cell r="X303">
            <v>0</v>
          </cell>
        </row>
        <row r="304">
          <cell r="E304">
            <v>10</v>
          </cell>
          <cell r="G304">
            <v>43</v>
          </cell>
          <cell r="P304">
            <v>8</v>
          </cell>
          <cell r="R304">
            <v>8</v>
          </cell>
          <cell r="X304">
            <v>0</v>
          </cell>
        </row>
        <row r="305">
          <cell r="E305">
            <v>10</v>
          </cell>
          <cell r="G305">
            <v>43</v>
          </cell>
          <cell r="P305">
            <v>8</v>
          </cell>
          <cell r="R305">
            <v>8</v>
          </cell>
          <cell r="X305">
            <v>0</v>
          </cell>
        </row>
        <row r="306">
          <cell r="E306">
            <v>10</v>
          </cell>
          <cell r="G306">
            <v>43</v>
          </cell>
          <cell r="P306">
            <v>0</v>
          </cell>
          <cell r="R306">
            <v>0</v>
          </cell>
          <cell r="X306">
            <v>0</v>
          </cell>
        </row>
        <row r="307">
          <cell r="E307">
            <v>10</v>
          </cell>
          <cell r="G307">
            <v>43</v>
          </cell>
          <cell r="P307">
            <v>0</v>
          </cell>
          <cell r="R307">
            <v>0</v>
          </cell>
          <cell r="X307">
            <v>0</v>
          </cell>
        </row>
        <row r="308">
          <cell r="E308">
            <v>10</v>
          </cell>
          <cell r="G308">
            <v>44</v>
          </cell>
          <cell r="P308">
            <v>8</v>
          </cell>
          <cell r="R308">
            <v>8</v>
          </cell>
          <cell r="X308">
            <v>0</v>
          </cell>
        </row>
        <row r="309">
          <cell r="E309">
            <v>10</v>
          </cell>
          <cell r="G309">
            <v>44</v>
          </cell>
          <cell r="P309">
            <v>8</v>
          </cell>
          <cell r="R309">
            <v>8</v>
          </cell>
          <cell r="X309">
            <v>0</v>
          </cell>
        </row>
        <row r="310">
          <cell r="E310">
            <v>10</v>
          </cell>
          <cell r="G310">
            <v>44</v>
          </cell>
          <cell r="P310">
            <v>8</v>
          </cell>
          <cell r="R310">
            <v>8</v>
          </cell>
          <cell r="X310">
            <v>0</v>
          </cell>
        </row>
        <row r="311">
          <cell r="E311">
            <v>10</v>
          </cell>
          <cell r="G311">
            <v>44</v>
          </cell>
          <cell r="P311">
            <v>8</v>
          </cell>
          <cell r="R311">
            <v>8</v>
          </cell>
          <cell r="X311">
            <v>0</v>
          </cell>
        </row>
        <row r="312">
          <cell r="E312">
            <v>10</v>
          </cell>
          <cell r="G312">
            <v>44</v>
          </cell>
          <cell r="P312">
            <v>8</v>
          </cell>
          <cell r="R312">
            <v>8</v>
          </cell>
          <cell r="X312">
            <v>0</v>
          </cell>
        </row>
        <row r="313">
          <cell r="E313">
            <v>10</v>
          </cell>
          <cell r="G313">
            <v>44</v>
          </cell>
          <cell r="P313">
            <v>0</v>
          </cell>
          <cell r="R313">
            <v>0</v>
          </cell>
          <cell r="X313">
            <v>0</v>
          </cell>
        </row>
        <row r="314">
          <cell r="E314">
            <v>11</v>
          </cell>
          <cell r="G314">
            <v>44</v>
          </cell>
          <cell r="P314">
            <v>0</v>
          </cell>
          <cell r="R314">
            <v>0</v>
          </cell>
          <cell r="X314">
            <v>0</v>
          </cell>
        </row>
        <row r="315">
          <cell r="E315">
            <v>11</v>
          </cell>
          <cell r="G315">
            <v>45</v>
          </cell>
          <cell r="P315">
            <v>8</v>
          </cell>
          <cell r="R315">
            <v>8</v>
          </cell>
          <cell r="X315">
            <v>0</v>
          </cell>
        </row>
        <row r="316">
          <cell r="E316">
            <v>11</v>
          </cell>
          <cell r="G316">
            <v>45</v>
          </cell>
          <cell r="P316">
            <v>8</v>
          </cell>
          <cell r="R316">
            <v>8</v>
          </cell>
          <cell r="X316">
            <v>0</v>
          </cell>
        </row>
        <row r="317">
          <cell r="E317">
            <v>11</v>
          </cell>
          <cell r="G317">
            <v>45</v>
          </cell>
          <cell r="P317">
            <v>8</v>
          </cell>
          <cell r="R317">
            <v>8</v>
          </cell>
          <cell r="X317">
            <v>0</v>
          </cell>
        </row>
        <row r="318">
          <cell r="E318">
            <v>11</v>
          </cell>
          <cell r="G318">
            <v>45</v>
          </cell>
          <cell r="P318">
            <v>8</v>
          </cell>
          <cell r="R318">
            <v>8</v>
          </cell>
          <cell r="X318">
            <v>0</v>
          </cell>
        </row>
        <row r="319">
          <cell r="E319">
            <v>11</v>
          </cell>
          <cell r="G319">
            <v>45</v>
          </cell>
          <cell r="P319">
            <v>8</v>
          </cell>
          <cell r="R319">
            <v>8</v>
          </cell>
          <cell r="X319">
            <v>0</v>
          </cell>
        </row>
        <row r="320">
          <cell r="E320">
            <v>11</v>
          </cell>
          <cell r="G320">
            <v>45</v>
          </cell>
          <cell r="P320">
            <v>0</v>
          </cell>
          <cell r="R320">
            <v>0</v>
          </cell>
          <cell r="X320">
            <v>0</v>
          </cell>
        </row>
        <row r="321">
          <cell r="E321">
            <v>11</v>
          </cell>
          <cell r="G321">
            <v>45</v>
          </cell>
          <cell r="P321">
            <v>0</v>
          </cell>
          <cell r="R321">
            <v>0</v>
          </cell>
          <cell r="X321">
            <v>0</v>
          </cell>
        </row>
        <row r="322">
          <cell r="E322">
            <v>11</v>
          </cell>
          <cell r="G322">
            <v>46</v>
          </cell>
          <cell r="P322">
            <v>8</v>
          </cell>
          <cell r="R322">
            <v>8</v>
          </cell>
          <cell r="X322">
            <v>0</v>
          </cell>
        </row>
        <row r="323">
          <cell r="E323">
            <v>11</v>
          </cell>
          <cell r="G323">
            <v>46</v>
          </cell>
          <cell r="P323">
            <v>8</v>
          </cell>
          <cell r="R323">
            <v>8</v>
          </cell>
          <cell r="X323">
            <v>0</v>
          </cell>
        </row>
        <row r="324">
          <cell r="E324">
            <v>11</v>
          </cell>
          <cell r="G324">
            <v>46</v>
          </cell>
          <cell r="P324">
            <v>8</v>
          </cell>
          <cell r="R324">
            <v>8</v>
          </cell>
          <cell r="X324">
            <v>0</v>
          </cell>
        </row>
        <row r="325">
          <cell r="E325">
            <v>11</v>
          </cell>
          <cell r="G325">
            <v>46</v>
          </cell>
          <cell r="P325">
            <v>8</v>
          </cell>
          <cell r="R325">
            <v>8</v>
          </cell>
          <cell r="X325">
            <v>0</v>
          </cell>
        </row>
        <row r="326">
          <cell r="E326">
            <v>11</v>
          </cell>
          <cell r="G326">
            <v>46</v>
          </cell>
          <cell r="P326">
            <v>8</v>
          </cell>
          <cell r="R326">
            <v>8</v>
          </cell>
          <cell r="X326">
            <v>0</v>
          </cell>
        </row>
        <row r="327">
          <cell r="E327">
            <v>11</v>
          </cell>
          <cell r="G327">
            <v>46</v>
          </cell>
          <cell r="P327">
            <v>0</v>
          </cell>
          <cell r="R327">
            <v>0</v>
          </cell>
          <cell r="X327">
            <v>0</v>
          </cell>
        </row>
        <row r="328">
          <cell r="E328">
            <v>11</v>
          </cell>
          <cell r="G328">
            <v>46</v>
          </cell>
          <cell r="P328">
            <v>0</v>
          </cell>
          <cell r="R328">
            <v>0</v>
          </cell>
          <cell r="X328">
            <v>0</v>
          </cell>
        </row>
        <row r="329">
          <cell r="E329">
            <v>11</v>
          </cell>
          <cell r="G329">
            <v>47</v>
          </cell>
          <cell r="P329">
            <v>8</v>
          </cell>
          <cell r="R329">
            <v>8</v>
          </cell>
          <cell r="X329">
            <v>0</v>
          </cell>
        </row>
        <row r="330">
          <cell r="E330">
            <v>11</v>
          </cell>
          <cell r="G330">
            <v>47</v>
          </cell>
          <cell r="P330">
            <v>8</v>
          </cell>
          <cell r="R330">
            <v>8</v>
          </cell>
          <cell r="X330">
            <v>0</v>
          </cell>
        </row>
        <row r="331">
          <cell r="E331">
            <v>11</v>
          </cell>
          <cell r="G331">
            <v>47</v>
          </cell>
          <cell r="P331">
            <v>8</v>
          </cell>
          <cell r="R331">
            <v>8</v>
          </cell>
          <cell r="X331">
            <v>0</v>
          </cell>
        </row>
        <row r="332">
          <cell r="E332">
            <v>11</v>
          </cell>
          <cell r="G332">
            <v>47</v>
          </cell>
          <cell r="P332">
            <v>8</v>
          </cell>
          <cell r="R332">
            <v>8</v>
          </cell>
          <cell r="X332">
            <v>0</v>
          </cell>
        </row>
        <row r="333">
          <cell r="E333">
            <v>11</v>
          </cell>
          <cell r="G333">
            <v>47</v>
          </cell>
          <cell r="P333">
            <v>8</v>
          </cell>
          <cell r="R333">
            <v>8</v>
          </cell>
          <cell r="X333">
            <v>0</v>
          </cell>
        </row>
        <row r="334">
          <cell r="E334">
            <v>11</v>
          </cell>
          <cell r="G334">
            <v>47</v>
          </cell>
          <cell r="P334">
            <v>0</v>
          </cell>
          <cell r="R334">
            <v>0</v>
          </cell>
          <cell r="X334">
            <v>0</v>
          </cell>
        </row>
        <row r="335">
          <cell r="E335">
            <v>11</v>
          </cell>
          <cell r="G335">
            <v>47</v>
          </cell>
          <cell r="P335">
            <v>0</v>
          </cell>
          <cell r="R335">
            <v>0</v>
          </cell>
          <cell r="X335">
            <v>0</v>
          </cell>
        </row>
        <row r="336">
          <cell r="E336">
            <v>11</v>
          </cell>
          <cell r="G336">
            <v>48</v>
          </cell>
          <cell r="P336">
            <v>8</v>
          </cell>
          <cell r="R336">
            <v>8</v>
          </cell>
          <cell r="X336">
            <v>0</v>
          </cell>
        </row>
        <row r="337">
          <cell r="E337">
            <v>11</v>
          </cell>
          <cell r="G337">
            <v>48</v>
          </cell>
          <cell r="P337">
            <v>8</v>
          </cell>
          <cell r="R337">
            <v>8</v>
          </cell>
          <cell r="X337">
            <v>0</v>
          </cell>
        </row>
        <row r="338">
          <cell r="E338">
            <v>11</v>
          </cell>
          <cell r="G338">
            <v>48</v>
          </cell>
          <cell r="P338">
            <v>8</v>
          </cell>
          <cell r="R338">
            <v>8</v>
          </cell>
          <cell r="X338">
            <v>0</v>
          </cell>
        </row>
        <row r="339">
          <cell r="E339">
            <v>11</v>
          </cell>
          <cell r="G339">
            <v>48</v>
          </cell>
          <cell r="P339">
            <v>8</v>
          </cell>
          <cell r="R339">
            <v>8</v>
          </cell>
          <cell r="X339">
            <v>0</v>
          </cell>
        </row>
        <row r="340">
          <cell r="E340">
            <v>11</v>
          </cell>
          <cell r="G340">
            <v>48</v>
          </cell>
          <cell r="P340">
            <v>8</v>
          </cell>
          <cell r="R340">
            <v>8</v>
          </cell>
          <cell r="X340">
            <v>0</v>
          </cell>
        </row>
        <row r="341">
          <cell r="E341">
            <v>11</v>
          </cell>
          <cell r="G341">
            <v>48</v>
          </cell>
          <cell r="P341">
            <v>0</v>
          </cell>
          <cell r="R341">
            <v>0</v>
          </cell>
          <cell r="X341">
            <v>0</v>
          </cell>
        </row>
        <row r="342">
          <cell r="E342">
            <v>11</v>
          </cell>
          <cell r="G342">
            <v>48</v>
          </cell>
          <cell r="P342">
            <v>0</v>
          </cell>
          <cell r="R342">
            <v>0</v>
          </cell>
          <cell r="X342">
            <v>0</v>
          </cell>
        </row>
        <row r="343">
          <cell r="E343">
            <v>11</v>
          </cell>
          <cell r="G343">
            <v>49</v>
          </cell>
          <cell r="P343">
            <v>8</v>
          </cell>
          <cell r="R343">
            <v>8</v>
          </cell>
          <cell r="X343">
            <v>0</v>
          </cell>
        </row>
        <row r="344">
          <cell r="E344">
            <v>12</v>
          </cell>
          <cell r="G344">
            <v>49</v>
          </cell>
          <cell r="P344">
            <v>8</v>
          </cell>
          <cell r="R344">
            <v>8</v>
          </cell>
          <cell r="X344">
            <v>0</v>
          </cell>
        </row>
        <row r="345">
          <cell r="E345">
            <v>12</v>
          </cell>
          <cell r="G345">
            <v>49</v>
          </cell>
          <cell r="P345">
            <v>8</v>
          </cell>
          <cell r="R345">
            <v>8</v>
          </cell>
          <cell r="X345">
            <v>0</v>
          </cell>
        </row>
        <row r="346">
          <cell r="E346">
            <v>12</v>
          </cell>
          <cell r="G346">
            <v>49</v>
          </cell>
          <cell r="P346">
            <v>8</v>
          </cell>
          <cell r="R346">
            <v>8</v>
          </cell>
          <cell r="X346">
            <v>0</v>
          </cell>
        </row>
        <row r="347">
          <cell r="E347">
            <v>12</v>
          </cell>
          <cell r="G347">
            <v>49</v>
          </cell>
          <cell r="P347">
            <v>8</v>
          </cell>
          <cell r="R347">
            <v>8</v>
          </cell>
          <cell r="X347">
            <v>0</v>
          </cell>
        </row>
        <row r="348">
          <cell r="E348">
            <v>12</v>
          </cell>
          <cell r="G348">
            <v>49</v>
          </cell>
          <cell r="P348">
            <v>0</v>
          </cell>
          <cell r="R348">
            <v>0</v>
          </cell>
          <cell r="X348">
            <v>0</v>
          </cell>
        </row>
        <row r="349">
          <cell r="E349">
            <v>12</v>
          </cell>
          <cell r="G349">
            <v>49</v>
          </cell>
          <cell r="P349">
            <v>0</v>
          </cell>
          <cell r="R349">
            <v>0</v>
          </cell>
          <cell r="X349">
            <v>0</v>
          </cell>
        </row>
        <row r="350">
          <cell r="E350">
            <v>12</v>
          </cell>
          <cell r="G350">
            <v>50</v>
          </cell>
          <cell r="P350">
            <v>8</v>
          </cell>
          <cell r="R350">
            <v>8</v>
          </cell>
          <cell r="X350">
            <v>0</v>
          </cell>
        </row>
        <row r="351">
          <cell r="E351">
            <v>12</v>
          </cell>
          <cell r="G351">
            <v>50</v>
          </cell>
          <cell r="P351">
            <v>8</v>
          </cell>
          <cell r="R351">
            <v>8</v>
          </cell>
          <cell r="X351">
            <v>0</v>
          </cell>
        </row>
        <row r="352">
          <cell r="E352">
            <v>12</v>
          </cell>
          <cell r="G352">
            <v>50</v>
          </cell>
          <cell r="P352">
            <v>8</v>
          </cell>
          <cell r="R352">
            <v>8</v>
          </cell>
          <cell r="X352">
            <v>0</v>
          </cell>
        </row>
        <row r="353">
          <cell r="E353">
            <v>12</v>
          </cell>
          <cell r="G353">
            <v>50</v>
          </cell>
          <cell r="P353">
            <v>8</v>
          </cell>
          <cell r="R353">
            <v>8</v>
          </cell>
          <cell r="X353">
            <v>0</v>
          </cell>
        </row>
        <row r="354">
          <cell r="E354">
            <v>12</v>
          </cell>
          <cell r="G354">
            <v>50</v>
          </cell>
          <cell r="P354">
            <v>8</v>
          </cell>
          <cell r="R354">
            <v>8</v>
          </cell>
          <cell r="X354">
            <v>0</v>
          </cell>
        </row>
        <row r="355">
          <cell r="E355">
            <v>12</v>
          </cell>
          <cell r="G355">
            <v>50</v>
          </cell>
          <cell r="P355">
            <v>0</v>
          </cell>
          <cell r="R355">
            <v>0</v>
          </cell>
          <cell r="X355">
            <v>0</v>
          </cell>
        </row>
        <row r="356">
          <cell r="E356">
            <v>12</v>
          </cell>
          <cell r="G356">
            <v>50</v>
          </cell>
          <cell r="P356">
            <v>0</v>
          </cell>
          <cell r="R356">
            <v>0</v>
          </cell>
          <cell r="X356">
            <v>0</v>
          </cell>
        </row>
        <row r="357">
          <cell r="E357">
            <v>12</v>
          </cell>
          <cell r="G357">
            <v>51</v>
          </cell>
          <cell r="P357">
            <v>8</v>
          </cell>
          <cell r="R357">
            <v>8</v>
          </cell>
          <cell r="X357">
            <v>0</v>
          </cell>
        </row>
        <row r="358">
          <cell r="E358">
            <v>12</v>
          </cell>
          <cell r="G358">
            <v>51</v>
          </cell>
          <cell r="P358">
            <v>8</v>
          </cell>
          <cell r="R358">
            <v>8</v>
          </cell>
          <cell r="X358">
            <v>0</v>
          </cell>
        </row>
        <row r="359">
          <cell r="E359">
            <v>12</v>
          </cell>
          <cell r="G359">
            <v>51</v>
          </cell>
          <cell r="P359">
            <v>8</v>
          </cell>
          <cell r="R359">
            <v>8</v>
          </cell>
          <cell r="X359">
            <v>0</v>
          </cell>
        </row>
        <row r="360">
          <cell r="E360">
            <v>12</v>
          </cell>
          <cell r="G360">
            <v>51</v>
          </cell>
          <cell r="P360">
            <v>8</v>
          </cell>
          <cell r="R360">
            <v>8</v>
          </cell>
          <cell r="X360">
            <v>0</v>
          </cell>
        </row>
        <row r="361">
          <cell r="E361">
            <v>12</v>
          </cell>
          <cell r="G361">
            <v>51</v>
          </cell>
          <cell r="P361">
            <v>8</v>
          </cell>
          <cell r="R361">
            <v>8</v>
          </cell>
          <cell r="X361">
            <v>0</v>
          </cell>
        </row>
        <row r="362">
          <cell r="E362">
            <v>12</v>
          </cell>
          <cell r="G362">
            <v>51</v>
          </cell>
          <cell r="P362">
            <v>0</v>
          </cell>
          <cell r="R362">
            <v>0</v>
          </cell>
          <cell r="X362">
            <v>0</v>
          </cell>
        </row>
        <row r="363">
          <cell r="E363">
            <v>12</v>
          </cell>
          <cell r="G363">
            <v>51</v>
          </cell>
          <cell r="P363">
            <v>0</v>
          </cell>
          <cell r="R363">
            <v>0</v>
          </cell>
          <cell r="X363">
            <v>0</v>
          </cell>
        </row>
        <row r="364">
          <cell r="E364">
            <v>12</v>
          </cell>
          <cell r="G364">
            <v>52</v>
          </cell>
          <cell r="P364">
            <v>8</v>
          </cell>
          <cell r="R364">
            <v>8</v>
          </cell>
          <cell r="X364">
            <v>0</v>
          </cell>
        </row>
        <row r="365">
          <cell r="E365">
            <v>12</v>
          </cell>
          <cell r="G365">
            <v>52</v>
          </cell>
          <cell r="P365">
            <v>8</v>
          </cell>
          <cell r="R365">
            <v>8</v>
          </cell>
          <cell r="X365">
            <v>0</v>
          </cell>
        </row>
        <row r="366">
          <cell r="E366">
            <v>12</v>
          </cell>
          <cell r="G366">
            <v>52</v>
          </cell>
          <cell r="P366">
            <v>8</v>
          </cell>
          <cell r="R366">
            <v>8</v>
          </cell>
          <cell r="X366">
            <v>0</v>
          </cell>
        </row>
        <row r="367">
          <cell r="E367">
            <v>12</v>
          </cell>
          <cell r="G367">
            <v>52</v>
          </cell>
          <cell r="P367">
            <v>8</v>
          </cell>
          <cell r="R367">
            <v>8</v>
          </cell>
          <cell r="X367">
            <v>0</v>
          </cell>
        </row>
        <row r="368">
          <cell r="E368">
            <v>12</v>
          </cell>
          <cell r="G368">
            <v>52</v>
          </cell>
          <cell r="P368">
            <v>8</v>
          </cell>
          <cell r="R368">
            <v>8</v>
          </cell>
          <cell r="X368">
            <v>0</v>
          </cell>
        </row>
        <row r="369">
          <cell r="E369">
            <v>12</v>
          </cell>
          <cell r="G369">
            <v>52</v>
          </cell>
          <cell r="P369">
            <v>0</v>
          </cell>
          <cell r="R369">
            <v>0</v>
          </cell>
          <cell r="X369">
            <v>0</v>
          </cell>
        </row>
        <row r="370">
          <cell r="E370">
            <v>12</v>
          </cell>
          <cell r="G370">
            <v>52</v>
          </cell>
          <cell r="P370">
            <v>0</v>
          </cell>
          <cell r="R370">
            <v>0</v>
          </cell>
          <cell r="X370">
            <v>0</v>
          </cell>
        </row>
        <row r="371">
          <cell r="E371">
            <v>12</v>
          </cell>
          <cell r="G371">
            <v>53</v>
          </cell>
          <cell r="P371">
            <v>8</v>
          </cell>
          <cell r="R371">
            <v>8</v>
          </cell>
          <cell r="X371">
            <v>0</v>
          </cell>
        </row>
        <row r="372">
          <cell r="E372">
            <v>12</v>
          </cell>
          <cell r="G372">
            <v>53</v>
          </cell>
          <cell r="P372">
            <v>8</v>
          </cell>
          <cell r="R372">
            <v>8</v>
          </cell>
          <cell r="X372">
            <v>0</v>
          </cell>
        </row>
        <row r="373">
          <cell r="E373">
            <v>12</v>
          </cell>
          <cell r="G373">
            <v>53</v>
          </cell>
          <cell r="P373">
            <v>8</v>
          </cell>
          <cell r="R373">
            <v>8</v>
          </cell>
          <cell r="X373">
            <v>0</v>
          </cell>
        </row>
        <row r="374">
          <cell r="E374">
            <v>12</v>
          </cell>
          <cell r="G374">
            <v>53</v>
          </cell>
          <cell r="P374">
            <v>8</v>
          </cell>
          <cell r="R374">
            <v>8</v>
          </cell>
          <cell r="X374">
            <v>0</v>
          </cell>
        </row>
        <row r="375">
          <cell r="E375" t="str">
            <v/>
          </cell>
          <cell r="G375" t="str">
            <v/>
          </cell>
          <cell r="P375">
            <v>0</v>
          </cell>
          <cell r="R375">
            <v>0</v>
          </cell>
          <cell r="X375">
            <v>0</v>
          </cell>
        </row>
      </sheetData>
      <sheetData sheetId="3"/>
      <sheetData sheetId="4">
        <row r="98">
          <cell r="J98">
            <v>-160</v>
          </cell>
          <cell r="K98">
            <v>-160</v>
          </cell>
          <cell r="L98">
            <v>-176</v>
          </cell>
          <cell r="M98">
            <v>-160</v>
          </cell>
          <cell r="N98">
            <v>-144</v>
          </cell>
          <cell r="O98">
            <v>-176</v>
          </cell>
          <cell r="P98">
            <v>-184</v>
          </cell>
          <cell r="Q98">
            <v>-168</v>
          </cell>
          <cell r="R98">
            <v>-176</v>
          </cell>
          <cell r="S98">
            <v>-176</v>
          </cell>
          <cell r="T98">
            <v>-168</v>
          </cell>
          <cell r="U98">
            <v>-168</v>
          </cell>
        </row>
        <row r="173">
          <cell r="V173">
            <v>9</v>
          </cell>
        </row>
        <row r="182">
          <cell r="W182">
            <v>176</v>
          </cell>
        </row>
        <row r="184">
          <cell r="W184">
            <v>176</v>
          </cell>
        </row>
      </sheetData>
      <sheetData sheetId="5">
        <row r="10">
          <cell r="F10">
            <v>1</v>
          </cell>
          <cell r="G10">
            <v>1</v>
          </cell>
          <cell r="BG10">
            <v>12</v>
          </cell>
          <cell r="BH10">
            <v>12</v>
          </cell>
        </row>
        <row r="11">
          <cell r="F11">
            <v>53</v>
          </cell>
          <cell r="G11">
            <v>1</v>
          </cell>
          <cell r="H11">
            <v>2</v>
          </cell>
          <cell r="I11">
            <v>3</v>
          </cell>
          <cell r="J11">
            <v>4</v>
          </cell>
          <cell r="K11">
            <v>5</v>
          </cell>
          <cell r="L11">
            <v>6</v>
          </cell>
          <cell r="M11">
            <v>7</v>
          </cell>
          <cell r="N11">
            <v>8</v>
          </cell>
          <cell r="O11">
            <v>9</v>
          </cell>
          <cell r="P11">
            <v>10</v>
          </cell>
          <cell r="Q11">
            <v>11</v>
          </cell>
          <cell r="R11">
            <v>12</v>
          </cell>
          <cell r="S11">
            <v>13</v>
          </cell>
          <cell r="T11">
            <v>14</v>
          </cell>
          <cell r="U11">
            <v>15</v>
          </cell>
          <cell r="V11">
            <v>16</v>
          </cell>
          <cell r="W11">
            <v>17</v>
          </cell>
          <cell r="X11">
            <v>18</v>
          </cell>
          <cell r="Y11">
            <v>19</v>
          </cell>
          <cell r="Z11">
            <v>20</v>
          </cell>
          <cell r="AA11">
            <v>21</v>
          </cell>
          <cell r="AB11">
            <v>22</v>
          </cell>
          <cell r="AC11">
            <v>23</v>
          </cell>
          <cell r="AD11">
            <v>24</v>
          </cell>
          <cell r="AE11">
            <v>25</v>
          </cell>
          <cell r="AF11">
            <v>26</v>
          </cell>
          <cell r="AG11">
            <v>27</v>
          </cell>
          <cell r="AH11">
            <v>28</v>
          </cell>
          <cell r="AI11">
            <v>29</v>
          </cell>
          <cell r="AJ11">
            <v>30</v>
          </cell>
          <cell r="AK11">
            <v>31</v>
          </cell>
          <cell r="AL11">
            <v>32</v>
          </cell>
          <cell r="AM11">
            <v>33</v>
          </cell>
          <cell r="AN11">
            <v>34</v>
          </cell>
          <cell r="AO11">
            <v>35</v>
          </cell>
          <cell r="AP11">
            <v>36</v>
          </cell>
          <cell r="AQ11">
            <v>37</v>
          </cell>
          <cell r="AR11">
            <v>38</v>
          </cell>
          <cell r="AS11">
            <v>39</v>
          </cell>
          <cell r="AT11">
            <v>40</v>
          </cell>
          <cell r="AU11">
            <v>41</v>
          </cell>
          <cell r="AV11">
            <v>42</v>
          </cell>
          <cell r="AW11">
            <v>43</v>
          </cell>
          <cell r="AX11">
            <v>44</v>
          </cell>
          <cell r="AY11">
            <v>45</v>
          </cell>
          <cell r="AZ11">
            <v>46</v>
          </cell>
          <cell r="BA11">
            <v>47</v>
          </cell>
          <cell r="BB11">
            <v>48</v>
          </cell>
          <cell r="BC11">
            <v>49</v>
          </cell>
          <cell r="BD11">
            <v>50</v>
          </cell>
          <cell r="BE11">
            <v>51</v>
          </cell>
          <cell r="BF11">
            <v>52</v>
          </cell>
          <cell r="BG11">
            <v>53</v>
          </cell>
          <cell r="BH11">
            <v>1</v>
          </cell>
        </row>
        <row r="18"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</row>
        <row r="20"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</row>
      </sheetData>
      <sheetData sheetId="6"/>
      <sheetData sheetId="7"/>
      <sheetData sheetId="8"/>
      <sheetData sheetId="9">
        <row r="9">
          <cell r="AA9" t="str">
            <v>Eintrittsdatum</v>
          </cell>
        </row>
        <row r="13">
          <cell r="AB13">
            <v>176</v>
          </cell>
        </row>
        <row r="21">
          <cell r="C21" t="str">
            <v>x</v>
          </cell>
          <cell r="D21" t="str">
            <v>x</v>
          </cell>
        </row>
        <row r="24">
          <cell r="E24" t="str">
            <v>x</v>
          </cell>
          <cell r="H24" t="str">
            <v>x</v>
          </cell>
        </row>
        <row r="25">
          <cell r="C25" t="str">
            <v>x</v>
          </cell>
          <cell r="P25" t="str">
            <v>x</v>
          </cell>
          <cell r="T25" t="str">
            <v>x</v>
          </cell>
        </row>
        <row r="32">
          <cell r="Z32" t="str">
            <v>x</v>
          </cell>
          <cell r="AA32" t="str">
            <v>x</v>
          </cell>
        </row>
        <row r="40">
          <cell r="F40" t="str">
            <v>ja</v>
          </cell>
          <cell r="M40" t="str">
            <v>ja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1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2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4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6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21EF5-8B45-493C-AA99-465332FAE884}">
  <sheetPr codeName="conf1">
    <tabColor theme="1"/>
    <pageSetUpPr autoPageBreaks="0" fitToPage="1"/>
  </sheetPr>
  <dimension ref="A1:AQ40"/>
  <sheetViews>
    <sheetView showGridLines="0" zoomScaleNormal="100" workbookViewId="0">
      <selection activeCell="G17" sqref="G17:J17"/>
    </sheetView>
  </sheetViews>
  <sheetFormatPr baseColWidth="10" defaultColWidth="11.42578125" defaultRowHeight="12.75" x14ac:dyDescent="0.2"/>
  <cols>
    <col min="1" max="1" width="1.85546875" style="96" customWidth="1"/>
    <col min="2" max="43" width="3.85546875" style="96" customWidth="1"/>
    <col min="44" max="55" width="3.85546875" customWidth="1"/>
  </cols>
  <sheetData>
    <row r="1" spans="2:28" ht="53.45" customHeight="1" x14ac:dyDescent="0.2">
      <c r="B1" s="95" t="s">
        <v>0</v>
      </c>
      <c r="U1" s="715"/>
      <c r="V1" s="715"/>
      <c r="W1" s="715"/>
      <c r="X1" s="715"/>
    </row>
    <row r="2" spans="2:28" ht="43.5" customHeight="1" x14ac:dyDescent="0.2"/>
    <row r="3" spans="2:28" s="38" customFormat="1" ht="20.45" customHeight="1" x14ac:dyDescent="0.2">
      <c r="B3" s="97" t="s">
        <v>1</v>
      </c>
      <c r="C3" s="98"/>
      <c r="D3" s="98"/>
      <c r="E3" s="98"/>
      <c r="F3" s="716">
        <v>2026</v>
      </c>
      <c r="G3" s="717"/>
      <c r="H3" s="717"/>
      <c r="I3" s="717"/>
      <c r="J3" s="717"/>
      <c r="K3" s="717"/>
      <c r="L3" s="718"/>
      <c r="M3" s="98"/>
      <c r="N3" s="98"/>
      <c r="O3" s="98"/>
      <c r="P3" s="98"/>
      <c r="Q3" s="98"/>
      <c r="R3" s="98"/>
      <c r="S3" s="97" t="s">
        <v>2</v>
      </c>
      <c r="T3" s="98"/>
      <c r="U3" s="98"/>
      <c r="V3" s="98"/>
      <c r="W3" s="719" t="s">
        <v>256</v>
      </c>
      <c r="X3" s="719"/>
      <c r="Y3" s="719"/>
      <c r="Z3" s="719"/>
      <c r="AA3" s="719"/>
      <c r="AB3" s="719"/>
    </row>
    <row r="4" spans="2:28" x14ac:dyDescent="0.2">
      <c r="G4" s="106"/>
      <c r="H4" s="106"/>
      <c r="I4" s="106"/>
      <c r="J4" s="106"/>
      <c r="K4" s="106"/>
      <c r="L4" s="106"/>
      <c r="M4" s="107"/>
    </row>
    <row r="6" spans="2:28" ht="13.5" thickBot="1" x14ac:dyDescent="0.25">
      <c r="B6" s="108" t="s">
        <v>4</v>
      </c>
      <c r="C6" s="98"/>
      <c r="D6" s="98"/>
      <c r="E6" s="98"/>
      <c r="F6" s="98"/>
      <c r="G6" s="98"/>
      <c r="H6" s="98"/>
      <c r="I6" s="98"/>
      <c r="J6" s="98"/>
    </row>
    <row r="7" spans="2:28" ht="13.5" customHeight="1" thickTop="1" x14ac:dyDescent="0.2">
      <c r="B7" s="101" t="s">
        <v>5</v>
      </c>
      <c r="C7" s="100"/>
      <c r="D7" s="100"/>
      <c r="E7" s="100"/>
      <c r="F7" s="712" t="str">
        <f>IF(MOD(YEAR($V$8),400)=0,"n",IF(MOD(YEAR($V$8),100)=0,"n",IF(MOD(YEAR($V$8),4)=0,"j","n")))</f>
        <v>n</v>
      </c>
      <c r="G7" s="713"/>
      <c r="H7" s="714"/>
      <c r="J7" s="102"/>
      <c r="P7" s="98"/>
      <c r="Q7" s="109" t="s">
        <v>6</v>
      </c>
      <c r="R7" s="110"/>
      <c r="S7" s="110"/>
      <c r="T7" s="110"/>
      <c r="U7" s="110"/>
      <c r="V7" s="722" t="str">
        <f>IF(ISERROR(DATEVALUE(TEXT("01.01."&amp;F3,"TT.MM.JJ"))),"01/01/"&amp;F3,"01.01."&amp;F3)</f>
        <v>01.01.2026</v>
      </c>
      <c r="W7" s="722"/>
      <c r="X7" s="722"/>
      <c r="Y7" s="110"/>
      <c r="Z7" s="723">
        <f>WEEKDAY(V7)</f>
        <v>5</v>
      </c>
      <c r="AA7" s="723"/>
      <c r="AB7" s="724"/>
    </row>
    <row r="8" spans="2:28" ht="13.5" thickBot="1" x14ac:dyDescent="0.25">
      <c r="B8" s="101" t="s">
        <v>7</v>
      </c>
      <c r="C8" s="100"/>
      <c r="D8" s="100"/>
      <c r="E8" s="100"/>
      <c r="F8" s="712">
        <f>NETWORKDAYS(DATE($F$3,1,1),DATE($F$3,12,31))</f>
        <v>261</v>
      </c>
      <c r="G8" s="713"/>
      <c r="H8" s="714"/>
      <c r="J8" s="102" t="s">
        <v>8</v>
      </c>
      <c r="Q8" s="111" t="s">
        <v>9</v>
      </c>
      <c r="R8" s="112"/>
      <c r="S8" s="112"/>
      <c r="T8" s="112"/>
      <c r="U8" s="112"/>
      <c r="V8" s="725">
        <f>DATE(YEAR($V$7),MONTH($V$7),DAY($V$7))</f>
        <v>46023</v>
      </c>
      <c r="W8" s="725"/>
      <c r="X8" s="725"/>
      <c r="Y8" s="112"/>
      <c r="Z8" s="720">
        <f>WEEKDAY(V8,2)</f>
        <v>4</v>
      </c>
      <c r="AA8" s="720"/>
      <c r="AB8" s="721"/>
    </row>
    <row r="9" spans="2:28" ht="18" customHeight="1" thickTop="1" x14ac:dyDescent="0.2">
      <c r="B9" s="99"/>
      <c r="C9" s="100"/>
      <c r="D9" s="100"/>
      <c r="E9" s="100"/>
      <c r="F9" s="100"/>
    </row>
    <row r="10" spans="2:28" s="38" customFormat="1" ht="18" customHeight="1" x14ac:dyDescent="0.2"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</row>
    <row r="11" spans="2:28" ht="18" customHeight="1" x14ac:dyDescent="0.2">
      <c r="B11" s="99" t="s">
        <v>10</v>
      </c>
      <c r="C11" s="100"/>
      <c r="D11" s="100"/>
      <c r="E11" s="100"/>
      <c r="F11" s="100"/>
      <c r="Q11" s="99" t="s">
        <v>11</v>
      </c>
      <c r="R11" s="100"/>
      <c r="S11" s="100"/>
      <c r="T11" s="100"/>
      <c r="U11" s="100"/>
    </row>
    <row r="12" spans="2:28" ht="18" customHeight="1" x14ac:dyDescent="0.2">
      <c r="B12" s="101" t="s">
        <v>12</v>
      </c>
      <c r="C12" s="100"/>
      <c r="D12" s="100"/>
      <c r="E12" s="100"/>
      <c r="G12" s="704">
        <v>0.8</v>
      </c>
      <c r="H12" s="705"/>
      <c r="I12" s="706"/>
      <c r="J12" s="116" t="s">
        <v>13</v>
      </c>
      <c r="K12" s="704">
        <v>1</v>
      </c>
      <c r="L12" s="705"/>
      <c r="M12" s="706"/>
      <c r="Q12" s="101" t="s">
        <v>14</v>
      </c>
      <c r="R12" s="100"/>
      <c r="S12" s="100"/>
      <c r="T12" s="100"/>
      <c r="V12" s="704">
        <v>0.25</v>
      </c>
      <c r="W12" s="705"/>
      <c r="X12" s="706"/>
    </row>
    <row r="13" spans="2:28" ht="18" customHeight="1" x14ac:dyDescent="0.2">
      <c r="B13" s="101" t="s">
        <v>15</v>
      </c>
      <c r="C13" s="100"/>
      <c r="D13" s="100"/>
      <c r="E13" s="100"/>
      <c r="G13" s="704">
        <v>0</v>
      </c>
      <c r="H13" s="705"/>
      <c r="I13" s="706"/>
      <c r="J13" s="116" t="s">
        <v>13</v>
      </c>
      <c r="K13" s="704">
        <v>0.79</v>
      </c>
      <c r="L13" s="705"/>
      <c r="M13" s="706"/>
      <c r="Q13" s="101" t="s">
        <v>16</v>
      </c>
      <c r="R13" s="100"/>
      <c r="S13" s="100"/>
      <c r="T13" s="100"/>
      <c r="V13" s="704">
        <v>1</v>
      </c>
      <c r="W13" s="705"/>
      <c r="X13" s="706"/>
    </row>
    <row r="14" spans="2:28" ht="18" customHeight="1" x14ac:dyDescent="0.2">
      <c r="B14" s="101"/>
      <c r="C14" s="100"/>
      <c r="D14" s="100"/>
      <c r="E14" s="100"/>
      <c r="G14" s="707"/>
      <c r="H14" s="707"/>
      <c r="I14" s="707"/>
      <c r="J14" s="116"/>
      <c r="K14" s="707"/>
      <c r="L14" s="707"/>
      <c r="M14" s="707"/>
      <c r="Q14" s="101" t="s">
        <v>17</v>
      </c>
      <c r="R14" s="100"/>
      <c r="S14" s="100"/>
      <c r="T14" s="100"/>
      <c r="V14" s="704">
        <v>1</v>
      </c>
      <c r="W14" s="705"/>
      <c r="X14" s="706"/>
    </row>
    <row r="15" spans="2:28" ht="18" customHeight="1" x14ac:dyDescent="0.2">
      <c r="B15" s="101"/>
      <c r="C15" s="100"/>
      <c r="D15" s="100"/>
      <c r="E15" s="100"/>
      <c r="G15" s="592"/>
      <c r="H15" s="592"/>
      <c r="I15" s="592"/>
      <c r="J15" s="116"/>
      <c r="K15" s="592"/>
      <c r="L15" s="592"/>
      <c r="M15" s="592"/>
      <c r="Q15" s="101"/>
      <c r="R15" s="100"/>
      <c r="S15" s="100"/>
      <c r="T15" s="100"/>
      <c r="V15" s="593"/>
      <c r="W15" s="593"/>
      <c r="X15" s="593"/>
    </row>
    <row r="16" spans="2:28" x14ac:dyDescent="0.2">
      <c r="L16" s="698" t="str">
        <f>"Abzug "&amp;TEXT(L17*60,"00")&amp;" Min."</f>
        <v>Abzug 25 Min.</v>
      </c>
      <c r="M16" s="698"/>
      <c r="N16" s="698"/>
    </row>
    <row r="17" spans="2:26" ht="18" customHeight="1" x14ac:dyDescent="0.2">
      <c r="B17" s="99" t="s">
        <v>829</v>
      </c>
      <c r="C17" s="100"/>
      <c r="D17" s="100"/>
      <c r="E17" s="100"/>
      <c r="F17" s="100"/>
      <c r="G17" s="701" t="s">
        <v>866</v>
      </c>
      <c r="H17" s="702"/>
      <c r="I17" s="702"/>
      <c r="J17" s="703"/>
      <c r="K17" s="116"/>
      <c r="L17" s="699">
        <v>0.42</v>
      </c>
      <c r="M17" s="700"/>
      <c r="O17" s="596">
        <f>IF(A_Reisezeit="komplett vergütet",0,1)</f>
        <v>0</v>
      </c>
    </row>
    <row r="20" spans="2:26" ht="18" customHeight="1" x14ac:dyDescent="0.2">
      <c r="B20" s="99" t="s">
        <v>18</v>
      </c>
      <c r="C20" s="100"/>
      <c r="D20" s="100"/>
      <c r="E20" s="100"/>
      <c r="F20" s="100"/>
      <c r="M20" s="97" t="s">
        <v>19</v>
      </c>
      <c r="O20" s="98"/>
      <c r="P20" s="708" t="s">
        <v>20</v>
      </c>
      <c r="Q20" s="708"/>
      <c r="R20" s="708"/>
      <c r="S20" s="708"/>
      <c r="T20" s="708"/>
      <c r="U20" s="708"/>
    </row>
    <row r="21" spans="2:26" ht="18" customHeight="1" x14ac:dyDescent="0.2">
      <c r="B21" s="100"/>
      <c r="C21" s="100"/>
      <c r="D21" s="100"/>
      <c r="E21" s="100"/>
      <c r="F21" s="100"/>
    </row>
    <row r="22" spans="2:26" x14ac:dyDescent="0.2">
      <c r="B22" s="101" t="s">
        <v>21</v>
      </c>
      <c r="C22" s="100"/>
      <c r="D22" s="100"/>
      <c r="E22" s="100"/>
      <c r="G22" s="709">
        <f>IF($P$20="Jahresarbeitszeit",G37,G30)</f>
        <v>8</v>
      </c>
      <c r="H22" s="710"/>
      <c r="I22" s="711"/>
      <c r="K22" s="102" t="s">
        <v>22</v>
      </c>
      <c r="Q22" s="101" t="s">
        <v>23</v>
      </c>
      <c r="R22" s="100"/>
      <c r="S22" s="100"/>
      <c r="T22" s="100"/>
      <c r="V22" s="709">
        <f>IF($P$20="Jahresarbeitszeit",V37,V30)</f>
        <v>2088</v>
      </c>
      <c r="W22" s="710"/>
      <c r="X22" s="711"/>
      <c r="Z22" s="102" t="s">
        <v>22</v>
      </c>
    </row>
    <row r="23" spans="2:26" x14ac:dyDescent="0.2"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N23" s="98"/>
      <c r="O23" s="98"/>
      <c r="P23" s="98"/>
      <c r="Q23" s="101"/>
      <c r="R23" s="100"/>
      <c r="S23" s="100"/>
      <c r="T23" s="100"/>
      <c r="U23" s="98"/>
      <c r="V23" s="98"/>
      <c r="W23" s="98"/>
      <c r="X23" s="98"/>
      <c r="Y23" s="98"/>
      <c r="Z23" s="98"/>
    </row>
    <row r="24" spans="2:26" ht="18" customHeight="1" x14ac:dyDescent="0.2">
      <c r="B24" s="101" t="s">
        <v>24</v>
      </c>
      <c r="C24" s="100"/>
      <c r="D24" s="100"/>
      <c r="E24" s="100"/>
      <c r="F24" s="98"/>
      <c r="G24" s="709">
        <f>IF($P$20="Jahresarbeitszeit",G39,G32)</f>
        <v>9.6</v>
      </c>
      <c r="H24" s="710"/>
      <c r="I24" s="711"/>
      <c r="J24" s="98"/>
      <c r="K24" s="102" t="s">
        <v>22</v>
      </c>
      <c r="L24" s="98"/>
      <c r="Q24" s="101" t="s">
        <v>25</v>
      </c>
      <c r="R24" s="100"/>
      <c r="S24" s="100"/>
      <c r="T24" s="100"/>
      <c r="U24" s="98"/>
      <c r="V24" s="709">
        <f>IF($P$20="Jahresarbeitszeit",V39,V32)</f>
        <v>0</v>
      </c>
      <c r="W24" s="710"/>
      <c r="X24" s="711"/>
      <c r="Y24" s="98"/>
      <c r="Z24" s="102" t="s">
        <v>22</v>
      </c>
    </row>
    <row r="25" spans="2:26" ht="18" customHeight="1" x14ac:dyDescent="0.2">
      <c r="B25" s="101" t="s">
        <v>26</v>
      </c>
      <c r="C25" s="100"/>
      <c r="D25" s="100"/>
      <c r="E25" s="100"/>
      <c r="F25" s="98"/>
      <c r="G25" s="709">
        <f>IF($P$20="Jahresarbeitszeit",G40,G33)</f>
        <v>48</v>
      </c>
      <c r="H25" s="710"/>
      <c r="I25" s="711"/>
      <c r="J25" s="98"/>
      <c r="K25" s="102" t="s">
        <v>22</v>
      </c>
      <c r="L25" s="98"/>
      <c r="Q25" s="101" t="s">
        <v>27</v>
      </c>
      <c r="R25" s="100"/>
      <c r="S25" s="100"/>
      <c r="T25" s="100"/>
      <c r="U25" s="98"/>
      <c r="V25" s="709">
        <f>IF($P$20="Jahresarbeitszeit",V40,V33)</f>
        <v>0</v>
      </c>
      <c r="W25" s="710"/>
      <c r="X25" s="711"/>
      <c r="Y25" s="98"/>
      <c r="Z25" s="102" t="s">
        <v>22</v>
      </c>
    </row>
    <row r="26" spans="2:26" x14ac:dyDescent="0.2"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</row>
    <row r="29" spans="2:26" s="38" customFormat="1" x14ac:dyDescent="0.2">
      <c r="B29" s="108" t="s">
        <v>28</v>
      </c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</row>
    <row r="30" spans="2:26" x14ac:dyDescent="0.2">
      <c r="B30" s="101" t="s">
        <v>21</v>
      </c>
      <c r="C30" s="100"/>
      <c r="D30" s="100"/>
      <c r="E30" s="100"/>
      <c r="G30" s="658">
        <v>8</v>
      </c>
      <c r="H30" s="659"/>
      <c r="I30" s="660"/>
      <c r="K30" s="102" t="s">
        <v>22</v>
      </c>
      <c r="Q30" s="101" t="s">
        <v>23</v>
      </c>
      <c r="R30" s="100"/>
      <c r="S30" s="100"/>
      <c r="T30" s="100"/>
      <c r="V30" s="709">
        <f>$F$8*$G$30</f>
        <v>2088</v>
      </c>
      <c r="W30" s="710"/>
      <c r="X30" s="711"/>
      <c r="Z30" s="102" t="s">
        <v>22</v>
      </c>
    </row>
    <row r="31" spans="2:26" x14ac:dyDescent="0.2"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N31" s="98"/>
      <c r="O31" s="98"/>
      <c r="P31" s="98"/>
      <c r="Q31" s="101"/>
      <c r="R31" s="100"/>
      <c r="S31" s="100"/>
      <c r="T31" s="100"/>
      <c r="U31" s="98"/>
      <c r="V31" s="98"/>
      <c r="W31" s="98"/>
      <c r="X31" s="98"/>
      <c r="Y31" s="98"/>
      <c r="Z31" s="98"/>
    </row>
    <row r="32" spans="2:26" ht="18" customHeight="1" x14ac:dyDescent="0.2">
      <c r="B32" s="101" t="s">
        <v>24</v>
      </c>
      <c r="C32" s="100"/>
      <c r="D32" s="100"/>
      <c r="E32" s="100"/>
      <c r="F32" s="98"/>
      <c r="G32" s="658">
        <f>G33/5</f>
        <v>9.6</v>
      </c>
      <c r="H32" s="659"/>
      <c r="I32" s="660"/>
      <c r="J32" s="98"/>
      <c r="K32" s="102" t="s">
        <v>22</v>
      </c>
      <c r="L32" s="98"/>
      <c r="Q32" s="101" t="s">
        <v>25</v>
      </c>
      <c r="R32" s="100"/>
      <c r="S32" s="100"/>
      <c r="T32" s="100"/>
      <c r="U32" s="98"/>
      <c r="V32" s="658"/>
      <c r="W32" s="659"/>
      <c r="X32" s="660"/>
      <c r="Y32" s="98"/>
      <c r="Z32" s="102" t="s">
        <v>22</v>
      </c>
    </row>
    <row r="33" spans="2:26" ht="18" customHeight="1" x14ac:dyDescent="0.2">
      <c r="B33" s="101" t="s">
        <v>26</v>
      </c>
      <c r="C33" s="100"/>
      <c r="D33" s="100"/>
      <c r="E33" s="100"/>
      <c r="F33" s="98"/>
      <c r="G33" s="658">
        <v>48</v>
      </c>
      <c r="H33" s="659"/>
      <c r="I33" s="660"/>
      <c r="J33" s="98"/>
      <c r="K33" s="102" t="s">
        <v>22</v>
      </c>
      <c r="L33" s="98"/>
      <c r="Q33" s="101" t="s">
        <v>27</v>
      </c>
      <c r="R33" s="100"/>
      <c r="S33" s="100"/>
      <c r="T33" s="100"/>
      <c r="U33" s="98"/>
      <c r="V33" s="658"/>
      <c r="W33" s="659"/>
      <c r="X33" s="660"/>
      <c r="Y33" s="98"/>
      <c r="Z33" s="102" t="s">
        <v>22</v>
      </c>
    </row>
    <row r="36" spans="2:26" s="38" customFormat="1" x14ac:dyDescent="0.2">
      <c r="B36" s="108" t="s">
        <v>29</v>
      </c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</row>
    <row r="37" spans="2:26" ht="18" customHeight="1" x14ac:dyDescent="0.2">
      <c r="B37" s="101" t="s">
        <v>21</v>
      </c>
      <c r="C37" s="100"/>
      <c r="D37" s="100"/>
      <c r="E37" s="100"/>
      <c r="G37" s="709">
        <f>$V$37/$F$8</f>
        <v>8.3000000000000007</v>
      </c>
      <c r="H37" s="710"/>
      <c r="I37" s="711"/>
      <c r="K37" s="102" t="s">
        <v>22</v>
      </c>
      <c r="Q37" s="101" t="s">
        <v>23</v>
      </c>
      <c r="R37" s="100"/>
      <c r="S37" s="100"/>
      <c r="T37" s="100"/>
      <c r="V37" s="658">
        <v>2166.3000000000002</v>
      </c>
      <c r="W37" s="659"/>
      <c r="X37" s="660"/>
      <c r="Z37" s="102" t="s">
        <v>22</v>
      </c>
    </row>
    <row r="38" spans="2:26" s="38" customFormat="1" ht="10.5" customHeight="1" x14ac:dyDescent="0.2"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6"/>
      <c r="N38" s="98"/>
      <c r="O38" s="98"/>
      <c r="P38" s="98"/>
      <c r="Q38" s="101"/>
      <c r="R38" s="100"/>
      <c r="S38" s="100"/>
      <c r="T38" s="100"/>
      <c r="U38" s="98"/>
      <c r="V38" s="98"/>
      <c r="W38" s="98"/>
      <c r="X38" s="98"/>
      <c r="Y38" s="98"/>
      <c r="Z38" s="98"/>
    </row>
    <row r="39" spans="2:26" x14ac:dyDescent="0.2">
      <c r="B39" s="101" t="s">
        <v>24</v>
      </c>
      <c r="C39" s="100"/>
      <c r="D39" s="100"/>
      <c r="E39" s="100"/>
      <c r="F39" s="98"/>
      <c r="G39" s="658">
        <v>9</v>
      </c>
      <c r="H39" s="659"/>
      <c r="I39" s="660"/>
      <c r="J39" s="98"/>
      <c r="K39" s="102" t="s">
        <v>22</v>
      </c>
      <c r="L39" s="98"/>
      <c r="Q39" s="101" t="s">
        <v>25</v>
      </c>
      <c r="R39" s="100"/>
      <c r="S39" s="100"/>
      <c r="T39" s="100"/>
      <c r="U39" s="98"/>
      <c r="V39" s="658">
        <v>7.5</v>
      </c>
      <c r="W39" s="659"/>
      <c r="X39" s="660"/>
      <c r="Y39" s="98"/>
      <c r="Z39" s="102" t="s">
        <v>22</v>
      </c>
    </row>
    <row r="40" spans="2:26" x14ac:dyDescent="0.2">
      <c r="B40" s="101" t="s">
        <v>26</v>
      </c>
      <c r="C40" s="100"/>
      <c r="D40" s="100"/>
      <c r="E40" s="100"/>
      <c r="F40" s="98"/>
      <c r="G40" s="658">
        <v>48</v>
      </c>
      <c r="H40" s="659"/>
      <c r="I40" s="660"/>
      <c r="J40" s="98"/>
      <c r="K40" s="102" t="s">
        <v>22</v>
      </c>
      <c r="L40" s="98"/>
      <c r="Q40" s="101" t="s">
        <v>27</v>
      </c>
      <c r="R40" s="100"/>
      <c r="S40" s="100"/>
      <c r="T40" s="100"/>
      <c r="U40" s="98"/>
      <c r="V40" s="658">
        <v>37.5</v>
      </c>
      <c r="W40" s="659"/>
      <c r="X40" s="660"/>
      <c r="Y40" s="98"/>
      <c r="Z40" s="102" t="s">
        <v>22</v>
      </c>
    </row>
  </sheetData>
  <sheetProtection algorithmName="SHA-512" hashValue="LYepm880Cl9XGSabCbesWbn/3YuUPrZkLPq3BjN5UBs4iQL6Nxo/qXYSZ/X5ZXnMauOyCCIj7g7jQTyQj3x1BA==" saltValue="154WM5HaMDV0QCxLTz1qTA==" spinCount="100000" sheet="1" objects="1" scenarios="1"/>
  <dataConsolidate/>
  <mergeCells count="40">
    <mergeCell ref="V40:X40"/>
    <mergeCell ref="V24:X24"/>
    <mergeCell ref="V25:X25"/>
    <mergeCell ref="V7:X7"/>
    <mergeCell ref="Z7:AB7"/>
    <mergeCell ref="V8:X8"/>
    <mergeCell ref="V22:X22"/>
    <mergeCell ref="V37:X37"/>
    <mergeCell ref="V12:X12"/>
    <mergeCell ref="V13:X13"/>
    <mergeCell ref="V14:X14"/>
    <mergeCell ref="V30:X30"/>
    <mergeCell ref="V32:X32"/>
    <mergeCell ref="V33:X33"/>
    <mergeCell ref="V39:X39"/>
    <mergeCell ref="F7:H7"/>
    <mergeCell ref="F8:H8"/>
    <mergeCell ref="U1:X1"/>
    <mergeCell ref="F3:L3"/>
    <mergeCell ref="W3:AB3"/>
    <mergeCell ref="Z8:AB8"/>
    <mergeCell ref="P20:U20"/>
    <mergeCell ref="G22:I22"/>
    <mergeCell ref="G24:I24"/>
    <mergeCell ref="G25:I25"/>
    <mergeCell ref="G39:I39"/>
    <mergeCell ref="G37:I37"/>
    <mergeCell ref="G33:I33"/>
    <mergeCell ref="G32:I32"/>
    <mergeCell ref="G30:I30"/>
    <mergeCell ref="L16:N16"/>
    <mergeCell ref="L17:M17"/>
    <mergeCell ref="G17:J17"/>
    <mergeCell ref="G40:I40"/>
    <mergeCell ref="G12:I12"/>
    <mergeCell ref="G13:I13"/>
    <mergeCell ref="K12:M12"/>
    <mergeCell ref="K13:M13"/>
    <mergeCell ref="G14:I14"/>
    <mergeCell ref="K14:M14"/>
  </mergeCells>
  <conditionalFormatting sqref="F7:H7">
    <cfRule type="containsText" dxfId="233" priority="1" operator="containsText" text="j">
      <formula>NOT(ISERROR(SEARCH("j",F7)))</formula>
    </cfRule>
  </conditionalFormatting>
  <dataValidations count="3">
    <dataValidation type="list" showErrorMessage="1" sqref="W3:AB3" xr:uid="{C0EB8480-CF3E-45C8-961A-FBEDA154F262}">
      <formula1>"Deutsch, Français"</formula1>
    </dataValidation>
    <dataValidation type="list" allowBlank="1" showInputMessage="1" showErrorMessage="1" sqref="P20:U20" xr:uid="{2B5E9753-B7D9-4C7C-98E0-9F0011120368}">
      <formula1>"Tagesarbeitszeit, Jahresarbeitszeit"</formula1>
    </dataValidation>
    <dataValidation type="list" allowBlank="1" showInputMessage="1" showErrorMessage="1" sqref="G17" xr:uid="{C594EFDE-3667-4677-BA47-63F53D81FF3F}">
      <formula1>"komplett vergütet,Abzug"</formula1>
    </dataValidation>
  </dataValidations>
  <pageMargins left="0.70866141732283472" right="0.31496062992125984" top="0.59055118110236227" bottom="0.59055118110236227" header="0.31496062992125984" footer="0.31496062992125984"/>
  <pageSetup paperSize="9" scale="87" orientation="portrait" r:id="rId1"/>
  <headerFooter>
    <oddFooter>&amp;CSeite 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4700B-741A-420C-AE6F-DC3BCCDC5A31}">
  <sheetPr codeName="conf2">
    <tabColor rgb="FF0070C0"/>
    <pageSetUpPr autoPageBreaks="0" fitToPage="1"/>
  </sheetPr>
  <dimension ref="A1:AI68"/>
  <sheetViews>
    <sheetView showGridLines="0" tabSelected="1" topLeftCell="A13" zoomScaleNormal="100" workbookViewId="0">
      <selection activeCell="AJ25" sqref="AJ25"/>
    </sheetView>
  </sheetViews>
  <sheetFormatPr baseColWidth="10" defaultColWidth="11.42578125" defaultRowHeight="12.75" x14ac:dyDescent="0.2"/>
  <cols>
    <col min="1" max="1" width="2.5703125" customWidth="1"/>
    <col min="2" max="33" width="3.85546875" customWidth="1"/>
    <col min="34" max="34" width="3.140625" customWidth="1"/>
  </cols>
  <sheetData>
    <row r="1" spans="2:35" ht="53.45" customHeight="1" x14ac:dyDescent="0.2">
      <c r="B1" s="95" t="str">
        <f>H_Label!$B$29</f>
        <v>contrôle des heures de travail ASEPP - feuille de base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682">
        <f>Admin_Konfig!$V$8</f>
        <v>46023</v>
      </c>
      <c r="V1" s="682"/>
      <c r="W1" s="682"/>
      <c r="X1" s="682"/>
      <c r="Y1" s="96"/>
      <c r="Z1" s="96"/>
      <c r="AA1" s="96"/>
      <c r="AB1" s="96"/>
      <c r="AC1" s="96"/>
      <c r="AD1" s="96"/>
      <c r="AE1" s="96"/>
      <c r="AF1" s="96"/>
      <c r="AG1" s="96"/>
    </row>
    <row r="2" spans="2:35" ht="23.45" customHeight="1" x14ac:dyDescent="0.2"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</row>
    <row r="3" spans="2:35" s="38" customFormat="1" ht="20.45" customHeight="1" x14ac:dyDescent="0.2">
      <c r="B3" s="97" t="str">
        <f>H_Label!$B$100</f>
        <v>entreprise</v>
      </c>
      <c r="C3" s="98"/>
      <c r="D3" s="98"/>
      <c r="E3" s="98"/>
      <c r="F3" s="98"/>
      <c r="G3" s="686" t="str">
        <f>H_Label!B162</f>
        <v>Peinture Exemple SA</v>
      </c>
      <c r="H3" s="687"/>
      <c r="I3" s="687"/>
      <c r="J3" s="687"/>
      <c r="K3" s="687"/>
      <c r="L3" s="687"/>
      <c r="M3" s="687"/>
      <c r="N3" s="687"/>
      <c r="O3" s="688"/>
      <c r="P3" s="98"/>
      <c r="Q3" s="98"/>
      <c r="AB3" s="98"/>
      <c r="AC3" s="98"/>
      <c r="AD3" s="98"/>
      <c r="AE3" s="98"/>
      <c r="AF3" s="98"/>
      <c r="AG3" s="98"/>
    </row>
    <row r="4" spans="2:35" x14ac:dyDescent="0.2"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AB4" s="96"/>
      <c r="AC4" s="96"/>
      <c r="AD4" s="96"/>
      <c r="AE4" s="96"/>
      <c r="AF4" s="96"/>
      <c r="AG4" s="96"/>
    </row>
    <row r="5" spans="2:35" x14ac:dyDescent="0.2">
      <c r="B5" s="96"/>
      <c r="C5" s="96"/>
      <c r="D5" s="96"/>
      <c r="E5" s="96"/>
      <c r="F5" s="96"/>
      <c r="G5" s="691" t="str">
        <f>H_Label!B164</f>
        <v>nom</v>
      </c>
      <c r="H5" s="691"/>
      <c r="I5" s="691"/>
      <c r="J5" s="691"/>
      <c r="K5" s="691"/>
      <c r="L5" s="691"/>
      <c r="M5" s="691"/>
      <c r="N5" s="691"/>
      <c r="O5" s="691"/>
      <c r="P5" s="96"/>
      <c r="Q5" s="691" t="str">
        <f>H_Label!B167</f>
        <v>adresse</v>
      </c>
      <c r="R5" s="691"/>
      <c r="S5" s="691"/>
      <c r="T5" s="691"/>
      <c r="U5" s="691"/>
      <c r="V5" s="691"/>
      <c r="W5" s="691"/>
      <c r="X5" s="691"/>
      <c r="Y5" s="691"/>
      <c r="Z5" s="96"/>
      <c r="AA5" s="691" t="str">
        <f>H_Label!B171</f>
        <v>coordonnées</v>
      </c>
      <c r="AB5" s="691"/>
      <c r="AC5" s="691"/>
      <c r="AD5" s="691"/>
      <c r="AE5" s="691"/>
      <c r="AF5" s="691"/>
      <c r="AG5" s="691"/>
    </row>
    <row r="6" spans="2:35" s="38" customFormat="1" ht="20.45" customHeight="1" x14ac:dyDescent="0.2">
      <c r="B6" s="97" t="str">
        <f>H_Label!$B$101</f>
        <v>employé</v>
      </c>
      <c r="C6" s="98"/>
      <c r="D6" s="98"/>
      <c r="E6" s="98"/>
      <c r="F6" s="98"/>
      <c r="G6" s="674" t="str">
        <f>H_Label!B165</f>
        <v>Martin Dupont</v>
      </c>
      <c r="H6" s="689"/>
      <c r="I6" s="689"/>
      <c r="J6" s="689"/>
      <c r="K6" s="689"/>
      <c r="L6" s="689"/>
      <c r="M6" s="689"/>
      <c r="N6" s="689"/>
      <c r="O6" s="690"/>
      <c r="Q6" s="674" t="str">
        <f>H_Label!B168</f>
        <v>rue, N°</v>
      </c>
      <c r="R6" s="689"/>
      <c r="S6" s="689"/>
      <c r="T6" s="689"/>
      <c r="U6" s="689"/>
      <c r="V6" s="689"/>
      <c r="W6" s="689"/>
      <c r="X6" s="689"/>
      <c r="Y6" s="690"/>
      <c r="AA6" s="674" t="str">
        <f>H_Label!B172</f>
        <v>téléphone</v>
      </c>
      <c r="AB6" s="675"/>
      <c r="AC6" s="675"/>
      <c r="AD6" s="675"/>
      <c r="AE6" s="675"/>
      <c r="AF6" s="675"/>
      <c r="AG6" s="676"/>
    </row>
    <row r="7" spans="2:35" s="38" customFormat="1" ht="20.45" customHeight="1" x14ac:dyDescent="0.2">
      <c r="B7" s="97"/>
      <c r="C7" s="98"/>
      <c r="D7" s="98"/>
      <c r="E7" s="98"/>
      <c r="F7" s="98"/>
      <c r="N7" s="98"/>
      <c r="Q7" s="674" t="str">
        <f>H_Label!B169</f>
        <v>CP, lieu</v>
      </c>
      <c r="R7" s="689"/>
      <c r="S7" s="689"/>
      <c r="T7" s="689"/>
      <c r="U7" s="689"/>
      <c r="V7" s="689"/>
      <c r="W7" s="689"/>
      <c r="X7" s="689"/>
      <c r="Y7" s="690"/>
      <c r="AA7" s="674" t="str">
        <f>H_Label!B173</f>
        <v>e-mail</v>
      </c>
      <c r="AB7" s="675"/>
      <c r="AC7" s="675"/>
      <c r="AD7" s="675"/>
      <c r="AE7" s="675"/>
      <c r="AF7" s="675"/>
      <c r="AG7" s="676"/>
    </row>
    <row r="8" spans="2:35" s="585" customFormat="1" ht="20.45" customHeight="1" x14ac:dyDescent="0.15">
      <c r="B8" s="582"/>
      <c r="C8" s="583"/>
      <c r="D8" s="583"/>
      <c r="E8" s="583"/>
      <c r="F8" s="583"/>
      <c r="G8" s="692" t="str">
        <f>H_Label!B176</f>
        <v>N° AVS</v>
      </c>
      <c r="H8" s="692"/>
      <c r="I8" s="692"/>
      <c r="J8" s="692"/>
      <c r="K8" s="692"/>
      <c r="L8" s="692"/>
      <c r="M8" s="692"/>
      <c r="N8" s="692"/>
      <c r="O8" s="692"/>
      <c r="P8" s="584"/>
      <c r="Q8" s="693" t="str">
        <f>H_Label!B178</f>
        <v>date de naissance</v>
      </c>
      <c r="R8" s="693"/>
      <c r="S8" s="693"/>
      <c r="T8" s="693"/>
      <c r="U8" s="693"/>
      <c r="V8" s="693"/>
      <c r="W8" s="693"/>
      <c r="X8" s="693"/>
      <c r="Y8" s="693"/>
      <c r="Z8" s="584"/>
      <c r="AA8" s="694" t="str">
        <f>H_Label!B182</f>
        <v>date d'entrée</v>
      </c>
      <c r="AB8" s="694"/>
      <c r="AC8" s="694"/>
      <c r="AD8" s="586"/>
      <c r="AE8" s="694" t="str">
        <f>H_Label!$B$186</f>
        <v>dernier jour</v>
      </c>
      <c r="AF8" s="694"/>
      <c r="AG8" s="694"/>
    </row>
    <row r="9" spans="2:35" s="38" customFormat="1" ht="20.45" customHeight="1" x14ac:dyDescent="0.2">
      <c r="B9" s="97"/>
      <c r="C9" s="98"/>
      <c r="D9" s="98"/>
      <c r="E9" s="98"/>
      <c r="F9" s="98"/>
      <c r="G9" s="677" t="str">
        <f>H_Label!B176</f>
        <v>N° AVS</v>
      </c>
      <c r="H9" s="678"/>
      <c r="I9" s="678"/>
      <c r="J9" s="678"/>
      <c r="K9" s="678"/>
      <c r="L9" s="678"/>
      <c r="M9" s="678"/>
      <c r="N9" s="678"/>
      <c r="O9" s="679"/>
      <c r="Q9" s="671" t="str">
        <f>H_Label!B178</f>
        <v>date de naissance</v>
      </c>
      <c r="R9" s="680"/>
      <c r="S9" s="680"/>
      <c r="T9" s="680"/>
      <c r="U9" s="680"/>
      <c r="V9" s="680"/>
      <c r="W9" s="680"/>
      <c r="X9" s="680"/>
      <c r="Y9" s="681"/>
      <c r="AA9" s="695" t="s">
        <v>492</v>
      </c>
      <c r="AB9" s="696"/>
      <c r="AC9" s="697"/>
      <c r="AD9" s="587"/>
      <c r="AE9" s="671"/>
      <c r="AF9" s="672"/>
      <c r="AG9" s="673"/>
      <c r="AI9" s="566"/>
    </row>
    <row r="10" spans="2:35" ht="30.6" customHeight="1" x14ac:dyDescent="0.2"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300"/>
      <c r="P10" s="300"/>
      <c r="Q10" s="372" t="str">
        <f>H_Label!B155</f>
        <v>!saisir une date valide!</v>
      </c>
      <c r="R10" s="372"/>
      <c r="S10" s="300"/>
      <c r="T10" s="300"/>
      <c r="U10" s="300"/>
      <c r="V10" s="300"/>
      <c r="W10" s="300"/>
      <c r="X10" s="300"/>
      <c r="Y10" s="300"/>
      <c r="Z10" s="300"/>
      <c r="AA10" s="300"/>
      <c r="AB10" s="300"/>
      <c r="AC10" s="300"/>
      <c r="AD10" s="300"/>
      <c r="AE10" s="300"/>
      <c r="AF10" s="300"/>
      <c r="AG10" s="300"/>
    </row>
    <row r="11" spans="2:35" ht="16.5" customHeight="1" x14ac:dyDescent="0.2"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357"/>
      <c r="AC11" s="96"/>
      <c r="AD11" s="96"/>
      <c r="AE11" s="96"/>
      <c r="AF11" s="96"/>
      <c r="AG11" s="96"/>
    </row>
    <row r="12" spans="2:35" ht="18" customHeight="1" x14ac:dyDescent="0.2">
      <c r="B12" s="99" t="str">
        <f>H_Label!$B$102</f>
        <v>année passée (report)</v>
      </c>
      <c r="C12" s="100"/>
      <c r="D12" s="100"/>
      <c r="E12" s="100"/>
      <c r="F12" s="100"/>
      <c r="G12" s="101" t="str">
        <f>H_Label!$B$104</f>
        <v>se des heures</v>
      </c>
      <c r="H12" s="100"/>
      <c r="I12" s="100"/>
      <c r="J12" s="100"/>
      <c r="K12" s="658"/>
      <c r="L12" s="659"/>
      <c r="M12" s="660"/>
      <c r="N12" s="96"/>
      <c r="O12" s="102" t="str">
        <f>H_Label!$B$56</f>
        <v>heures</v>
      </c>
      <c r="P12" s="96"/>
      <c r="Q12" s="96"/>
      <c r="R12" s="96"/>
      <c r="S12" s="99" t="str">
        <f>H_Label!$B$103</f>
        <v>année en cours</v>
      </c>
      <c r="T12" s="100"/>
      <c r="U12" s="100"/>
      <c r="V12" s="100"/>
      <c r="W12" s="100"/>
      <c r="X12" s="101" t="str">
        <f>H_Label!$B$107</f>
        <v>vacances rest.</v>
      </c>
      <c r="Y12" s="100"/>
      <c r="Z12" s="100"/>
      <c r="AA12" s="100"/>
      <c r="AB12" s="683">
        <v>176</v>
      </c>
      <c r="AC12" s="684"/>
      <c r="AD12" s="685"/>
      <c r="AE12" s="96"/>
      <c r="AF12" s="102" t="str">
        <f>H_Label!$B$56</f>
        <v>heures</v>
      </c>
      <c r="AG12" s="96"/>
    </row>
    <row r="13" spans="2:35" ht="18" customHeight="1" x14ac:dyDescent="0.2">
      <c r="B13" s="100"/>
      <c r="C13" s="100"/>
      <c r="D13" s="100"/>
      <c r="E13" s="100"/>
      <c r="F13" s="100"/>
      <c r="G13" s="101" t="str">
        <f>H_Label!$B$105</f>
        <v>vacances</v>
      </c>
      <c r="H13" s="100"/>
      <c r="I13" s="100"/>
      <c r="J13" s="100"/>
      <c r="K13" s="658"/>
      <c r="L13" s="659"/>
      <c r="M13" s="660"/>
      <c r="N13" s="96"/>
      <c r="O13" s="102" t="str">
        <f>H_Label!$B$56</f>
        <v>heures</v>
      </c>
      <c r="P13" s="96"/>
      <c r="Q13" s="96"/>
      <c r="R13" s="96"/>
      <c r="S13" s="11"/>
      <c r="AA13" s="96"/>
      <c r="AB13" s="667" cm="1">
        <f t="array" aca="1" ref="AB13" ca="1">IFERROR(IF(AB15=H_Label!$B$118,AB12,IF(CELL("Format",Q9)="D1",H_fldFerienCalcVsmgv,"!")),"!")</f>
        <v>176</v>
      </c>
      <c r="AC13" s="668"/>
      <c r="AD13" s="669"/>
      <c r="AE13" s="96"/>
      <c r="AF13" s="102" t="str">
        <f>H_Label!$B$56</f>
        <v>heures</v>
      </c>
      <c r="AG13" s="96"/>
    </row>
    <row r="14" spans="2:35" s="38" customFormat="1" ht="20.45" customHeight="1" x14ac:dyDescent="0.2"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X14" s="98"/>
      <c r="Y14" s="98"/>
      <c r="Z14" s="353"/>
      <c r="AF14" s="98"/>
      <c r="AG14" s="98"/>
    </row>
    <row r="15" spans="2:35" ht="12.6" customHeight="1" x14ac:dyDescent="0.2"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X15" s="96"/>
      <c r="Y15" s="666" t="str">
        <f>H_Label!B108</f>
        <v xml:space="preserve">calcul automatique des vacances </v>
      </c>
      <c r="Z15" s="666"/>
      <c r="AA15" s="666"/>
      <c r="AB15" s="670" t="s">
        <v>673</v>
      </c>
      <c r="AC15" s="670"/>
      <c r="AD15" s="670"/>
    </row>
    <row r="16" spans="2:35" ht="23.45" customHeight="1" x14ac:dyDescent="0.2"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351"/>
      <c r="T16" s="351"/>
      <c r="U16" s="351"/>
      <c r="V16" s="352"/>
      <c r="W16" s="352"/>
      <c r="X16" s="96"/>
      <c r="Y16" s="666"/>
      <c r="Z16" s="666"/>
      <c r="AA16" s="666"/>
      <c r="AB16" s="670"/>
      <c r="AC16" s="670"/>
      <c r="AD16" s="670"/>
    </row>
    <row r="18" spans="1:33" ht="20.45" customHeight="1" x14ac:dyDescent="0.2"/>
    <row r="19" spans="1:33" ht="24.6" customHeight="1" x14ac:dyDescent="0.2">
      <c r="A19" s="10"/>
      <c r="B19" s="664" t="str">
        <f>H_Label!$B$95</f>
        <v>calendrier des jours fériés</v>
      </c>
      <c r="C19" s="664"/>
      <c r="D19" s="664"/>
      <c r="E19" s="664"/>
      <c r="F19" s="664"/>
      <c r="G19" s="664"/>
      <c r="H19" s="664"/>
      <c r="I19" s="664"/>
      <c r="J19" s="664"/>
      <c r="K19" s="664"/>
      <c r="L19" s="664"/>
      <c r="M19" s="664"/>
      <c r="N19" s="664"/>
      <c r="O19" s="664"/>
      <c r="P19" s="664"/>
      <c r="Q19" s="664"/>
      <c r="R19" s="665" t="str">
        <f>H_Label!$B$96</f>
        <v>veuillez cocher les jours fériés avec "x"</v>
      </c>
      <c r="S19" s="665"/>
      <c r="T19" s="665"/>
      <c r="U19" s="665"/>
      <c r="V19" s="665"/>
      <c r="W19" s="665"/>
      <c r="X19" s="665"/>
      <c r="Y19" s="665"/>
      <c r="Z19" s="665"/>
      <c r="AA19" s="665"/>
      <c r="AB19" s="665"/>
      <c r="AC19" s="665"/>
      <c r="AD19" s="665"/>
      <c r="AE19" s="665"/>
      <c r="AF19" s="665"/>
      <c r="AG19" s="665"/>
    </row>
    <row r="20" spans="1:33" s="38" customFormat="1" ht="18" customHeight="1" x14ac:dyDescent="0.2">
      <c r="A20" s="59" t="s">
        <v>294</v>
      </c>
      <c r="B20" s="74" t="str">
        <f>H_Label!B85</f>
        <v>jour</v>
      </c>
      <c r="C20" s="70">
        <v>1</v>
      </c>
      <c r="D20" s="72">
        <v>2</v>
      </c>
      <c r="E20" s="69">
        <v>3</v>
      </c>
      <c r="F20" s="70">
        <v>4</v>
      </c>
      <c r="G20" s="70">
        <v>5</v>
      </c>
      <c r="H20" s="70">
        <v>6</v>
      </c>
      <c r="I20" s="70">
        <v>7</v>
      </c>
      <c r="J20" s="70">
        <v>8</v>
      </c>
      <c r="K20" s="70">
        <v>9</v>
      </c>
      <c r="L20" s="70">
        <v>10</v>
      </c>
      <c r="M20" s="70">
        <v>11</v>
      </c>
      <c r="N20" s="70">
        <v>12</v>
      </c>
      <c r="O20" s="70">
        <v>13</v>
      </c>
      <c r="P20" s="70">
        <v>14</v>
      </c>
      <c r="Q20" s="70">
        <v>15</v>
      </c>
      <c r="R20" s="70">
        <v>16</v>
      </c>
      <c r="S20" s="70">
        <v>17</v>
      </c>
      <c r="T20" s="70">
        <v>18</v>
      </c>
      <c r="U20" s="70">
        <v>19</v>
      </c>
      <c r="V20" s="70">
        <v>20</v>
      </c>
      <c r="W20" s="70">
        <v>21</v>
      </c>
      <c r="X20" s="70">
        <v>22</v>
      </c>
      <c r="Y20" s="70">
        <v>23</v>
      </c>
      <c r="Z20" s="70">
        <v>24</v>
      </c>
      <c r="AA20" s="70">
        <v>25</v>
      </c>
      <c r="AB20" s="70">
        <v>26</v>
      </c>
      <c r="AC20" s="70">
        <v>27</v>
      </c>
      <c r="AD20" s="70">
        <v>28</v>
      </c>
      <c r="AE20" s="70">
        <v>29</v>
      </c>
      <c r="AF20" s="70">
        <v>30</v>
      </c>
      <c r="AG20" s="71">
        <v>31</v>
      </c>
    </row>
    <row r="21" spans="1:33" ht="15" customHeight="1" x14ac:dyDescent="0.2">
      <c r="A21" s="196">
        <v>1</v>
      </c>
      <c r="B21" s="73" t="str">
        <f>H_Label!B72</f>
        <v>jan</v>
      </c>
      <c r="C21" s="60" t="s">
        <v>523</v>
      </c>
      <c r="D21" s="68" t="s">
        <v>523</v>
      </c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</row>
    <row r="22" spans="1:33" ht="15" customHeight="1" x14ac:dyDescent="0.2">
      <c r="A22" s="196">
        <v>2</v>
      </c>
      <c r="B22" s="73" t="str">
        <f>H_Label!B73</f>
        <v>fév</v>
      </c>
      <c r="C22" s="60"/>
      <c r="D22" s="68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105"/>
      <c r="AF22" s="93"/>
      <c r="AG22" s="94"/>
    </row>
    <row r="23" spans="1:33" ht="15" customHeight="1" x14ac:dyDescent="0.2">
      <c r="A23" s="196">
        <v>3</v>
      </c>
      <c r="B23" s="73" t="str">
        <f>H_Label!B74</f>
        <v>mar</v>
      </c>
      <c r="C23" s="60"/>
      <c r="D23" s="68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</row>
    <row r="24" spans="1:33" ht="15" customHeight="1" x14ac:dyDescent="0.2">
      <c r="A24" s="196">
        <v>4</v>
      </c>
      <c r="B24" s="73" t="str">
        <f>H_Label!B75</f>
        <v>avr</v>
      </c>
      <c r="C24" s="60"/>
      <c r="D24" s="68"/>
      <c r="E24" s="60" t="s">
        <v>523</v>
      </c>
      <c r="F24" s="60"/>
      <c r="G24" s="60"/>
      <c r="H24" s="60" t="s">
        <v>523</v>
      </c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94"/>
    </row>
    <row r="25" spans="1:33" ht="15" customHeight="1" x14ac:dyDescent="0.2">
      <c r="A25" s="196">
        <v>5</v>
      </c>
      <c r="B25" s="73" t="str">
        <f>H_Label!B76</f>
        <v>mai</v>
      </c>
      <c r="C25" s="60" t="s">
        <v>523</v>
      </c>
      <c r="D25" s="68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 t="s">
        <v>523</v>
      </c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 t="s">
        <v>523</v>
      </c>
      <c r="AB25" s="60"/>
      <c r="AC25" s="60"/>
      <c r="AD25" s="60"/>
      <c r="AE25" s="60"/>
      <c r="AF25" s="60"/>
      <c r="AG25" s="60"/>
    </row>
    <row r="26" spans="1:33" ht="15" customHeight="1" x14ac:dyDescent="0.2">
      <c r="A26" s="196">
        <v>6</v>
      </c>
      <c r="B26" s="73" t="str">
        <f>H_Label!B77</f>
        <v>jun</v>
      </c>
      <c r="C26" s="60"/>
      <c r="D26" s="68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94"/>
    </row>
    <row r="27" spans="1:33" ht="15" customHeight="1" x14ac:dyDescent="0.2">
      <c r="A27" s="197">
        <v>7</v>
      </c>
      <c r="B27" s="73" t="str">
        <f>H_Label!B78</f>
        <v>jul</v>
      </c>
      <c r="C27" s="60"/>
      <c r="D27" s="68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</row>
    <row r="28" spans="1:33" ht="15" customHeight="1" x14ac:dyDescent="0.2">
      <c r="A28" s="197">
        <v>8</v>
      </c>
      <c r="B28" s="73" t="str">
        <f>H_Label!B79</f>
        <v>aoû</v>
      </c>
      <c r="C28" s="60"/>
      <c r="D28" s="68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</row>
    <row r="29" spans="1:33" ht="15" customHeight="1" x14ac:dyDescent="0.2">
      <c r="A29" s="197">
        <v>9</v>
      </c>
      <c r="B29" s="73" t="str">
        <f>H_Label!B80</f>
        <v>sep</v>
      </c>
      <c r="C29" s="60"/>
      <c r="D29" s="68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94"/>
    </row>
    <row r="30" spans="1:33" ht="15" customHeight="1" x14ac:dyDescent="0.2">
      <c r="A30" s="197">
        <v>10</v>
      </c>
      <c r="B30" s="73" t="str">
        <f>H_Label!B81</f>
        <v>oct</v>
      </c>
      <c r="C30" s="60"/>
      <c r="D30" s="68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</row>
    <row r="31" spans="1:33" ht="15" customHeight="1" x14ac:dyDescent="0.2">
      <c r="A31" s="197">
        <v>11</v>
      </c>
      <c r="B31" s="73" t="str">
        <f>H_Label!B82</f>
        <v>nov</v>
      </c>
      <c r="C31" s="60"/>
      <c r="D31" s="68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94"/>
    </row>
    <row r="32" spans="1:33" ht="15" customHeight="1" x14ac:dyDescent="0.2">
      <c r="A32" s="197">
        <v>12</v>
      </c>
      <c r="B32" s="73" t="str">
        <f>H_Label!B83</f>
        <v>déc</v>
      </c>
      <c r="C32" s="60"/>
      <c r="D32" s="68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 t="s">
        <v>523</v>
      </c>
      <c r="AA32" s="60" t="s">
        <v>523</v>
      </c>
      <c r="AB32" s="60"/>
      <c r="AC32" s="60"/>
      <c r="AD32" s="60"/>
      <c r="AE32" s="60"/>
      <c r="AF32" s="60"/>
      <c r="AG32" s="60"/>
    </row>
    <row r="34" spans="2:33" ht="9.9499999999999993" customHeight="1" x14ac:dyDescent="0.2"/>
    <row r="35" spans="2:33" ht="9.9499999999999993" customHeight="1" x14ac:dyDescent="0.2"/>
    <row r="36" spans="2:33" ht="9.9499999999999993" customHeight="1" x14ac:dyDescent="0.2"/>
    <row r="37" spans="2:33" ht="24.6" customHeight="1" x14ac:dyDescent="0.2">
      <c r="B37" s="655" t="str">
        <f>H_Label!B110</f>
        <v>taux d'occupation (%)</v>
      </c>
      <c r="C37" s="656"/>
      <c r="D37" s="656"/>
      <c r="E37" s="656"/>
      <c r="F37" s="656"/>
      <c r="G37" s="656"/>
      <c r="H37" s="656"/>
      <c r="I37" s="656"/>
      <c r="J37" s="656"/>
      <c r="K37" s="656"/>
      <c r="L37" s="656"/>
      <c r="M37" s="656"/>
      <c r="N37" s="656"/>
      <c r="O37" s="656"/>
      <c r="P37" s="656"/>
      <c r="Q37" s="656"/>
      <c r="R37" s="656"/>
      <c r="S37" s="656"/>
      <c r="T37" s="656"/>
      <c r="U37" s="656"/>
      <c r="V37" s="656"/>
      <c r="W37" s="656"/>
      <c r="X37" s="656"/>
      <c r="Y37" s="656"/>
      <c r="Z37" s="656"/>
      <c r="AA37" s="656"/>
      <c r="AB37" s="656"/>
      <c r="AC37" s="656"/>
      <c r="AD37" s="656"/>
      <c r="AE37" s="656"/>
      <c r="AF37" s="656"/>
      <c r="AG37" s="656"/>
    </row>
    <row r="38" spans="2:33" ht="12.95" customHeight="1" x14ac:dyDescent="0.2">
      <c r="B38" s="103" t="str">
        <f>H_Label!B111</f>
        <v>Veuillez indiquer le taux d'occupation approprié pour chaque jour de travail | pour les jours non travaillés, indiquez 0</v>
      </c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AF38" s="96"/>
      <c r="AG38" s="96"/>
    </row>
    <row r="39" spans="2:33" ht="12.95" customHeight="1" x14ac:dyDescent="0.2">
      <c r="B39" s="103"/>
      <c r="C39" s="96"/>
      <c r="D39" s="96"/>
      <c r="E39" s="96"/>
      <c r="K39" s="96"/>
      <c r="L39" s="96"/>
      <c r="M39" s="96"/>
      <c r="Q39" s="96"/>
      <c r="R39" s="96"/>
      <c r="S39" s="96"/>
      <c r="T39" s="96"/>
      <c r="U39" s="96"/>
      <c r="V39" s="96"/>
      <c r="W39" s="96"/>
      <c r="AF39" s="96"/>
      <c r="AG39" s="96"/>
    </row>
    <row r="40" spans="2:33" ht="12.95" customHeight="1" x14ac:dyDescent="0.2">
      <c r="B40" s="663" t="str">
        <f>H_Label!B112</f>
        <v>t.l. mois identiques</v>
      </c>
      <c r="C40" s="663"/>
      <c r="D40" s="663"/>
      <c r="E40" s="663"/>
      <c r="F40" s="661" t="s">
        <v>672</v>
      </c>
      <c r="G40" s="662"/>
      <c r="I40" s="663" t="str">
        <f>H_Label!B113</f>
        <v>t.l. jours identiques</v>
      </c>
      <c r="J40" s="663"/>
      <c r="K40" s="663"/>
      <c r="L40" s="663"/>
      <c r="M40" s="662" t="s">
        <v>672</v>
      </c>
      <c r="N40" s="662"/>
      <c r="S40" s="96"/>
      <c r="T40" s="96"/>
      <c r="U40" s="96"/>
      <c r="V40" s="96"/>
      <c r="W40" s="96"/>
      <c r="AF40" s="96"/>
      <c r="AG40" s="96"/>
    </row>
    <row r="41" spans="2:33" ht="12.95" customHeight="1" x14ac:dyDescent="0.2"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AF41" s="96"/>
      <c r="AG41" s="96"/>
    </row>
    <row r="42" spans="2:33" ht="12.95" customHeight="1" x14ac:dyDescent="0.2">
      <c r="B42" s="73"/>
      <c r="C42" s="657" t="s">
        <v>58</v>
      </c>
      <c r="D42" s="653"/>
      <c r="E42" s="654" t="str">
        <f>H_Label!B86</f>
        <v>lun</v>
      </c>
      <c r="F42" s="653"/>
      <c r="G42" s="654" t="str">
        <f>H_Label!B87</f>
        <v>mar</v>
      </c>
      <c r="H42" s="653"/>
      <c r="I42" s="654" t="str">
        <f>H_Label!B88</f>
        <v>mer</v>
      </c>
      <c r="J42" s="653"/>
      <c r="K42" s="654" t="str">
        <f>H_Label!B89</f>
        <v>jeu</v>
      </c>
      <c r="L42" s="653"/>
      <c r="M42" s="654" t="str">
        <f>H_Label!B90</f>
        <v>ven</v>
      </c>
      <c r="N42" s="653"/>
      <c r="O42" s="652" t="str">
        <f>H_Label!B120</f>
        <v>Ø jours de travail</v>
      </c>
      <c r="P42" s="653"/>
      <c r="Q42" s="652" t="str">
        <f>H_Label!B121</f>
        <v>Ø h/jour</v>
      </c>
      <c r="R42" s="653"/>
      <c r="S42" s="652" t="str">
        <f>H_Label!B122</f>
        <v>t.o. réel</v>
      </c>
      <c r="T42" s="653"/>
      <c r="U42" s="96"/>
      <c r="V42" s="96"/>
      <c r="W42" s="96"/>
    </row>
    <row r="43" spans="2:33" ht="12.95" customHeight="1" x14ac:dyDescent="0.2">
      <c r="B43" s="526" t="str">
        <f>H_Label!B72</f>
        <v>jan</v>
      </c>
      <c r="C43" s="640">
        <f>H_Basis!D62</f>
        <v>100</v>
      </c>
      <c r="D43" s="641"/>
      <c r="E43" s="650">
        <v>100</v>
      </c>
      <c r="F43" s="651"/>
      <c r="G43" s="650">
        <v>100</v>
      </c>
      <c r="H43" s="651"/>
      <c r="I43" s="650">
        <v>100</v>
      </c>
      <c r="J43" s="651"/>
      <c r="K43" s="650">
        <v>100</v>
      </c>
      <c r="L43" s="651"/>
      <c r="M43" s="650">
        <v>100</v>
      </c>
      <c r="N43" s="651"/>
      <c r="O43" s="640">
        <f>H_Basis!J62</f>
        <v>5</v>
      </c>
      <c r="P43" s="641"/>
      <c r="Q43" s="640">
        <f>H_Basis!K62</f>
        <v>8</v>
      </c>
      <c r="R43" s="641"/>
      <c r="S43" s="610">
        <f>H_Basis!M62</f>
        <v>1</v>
      </c>
      <c r="T43" s="611"/>
      <c r="U43" s="96"/>
      <c r="V43" s="96"/>
      <c r="W43" s="96"/>
    </row>
    <row r="44" spans="2:33" ht="12.95" customHeight="1" x14ac:dyDescent="0.2">
      <c r="B44" s="73" t="str">
        <f>H_Label!B73</f>
        <v>fév</v>
      </c>
      <c r="C44" s="640">
        <f>H_Basis!D63</f>
        <v>100</v>
      </c>
      <c r="D44" s="641"/>
      <c r="E44" s="650">
        <v>100</v>
      </c>
      <c r="F44" s="651"/>
      <c r="G44" s="650">
        <v>100</v>
      </c>
      <c r="H44" s="651"/>
      <c r="I44" s="650">
        <v>100</v>
      </c>
      <c r="J44" s="651"/>
      <c r="K44" s="650">
        <v>100</v>
      </c>
      <c r="L44" s="651"/>
      <c r="M44" s="650">
        <v>100</v>
      </c>
      <c r="N44" s="651"/>
      <c r="O44" s="640">
        <f>H_Basis!J63</f>
        <v>5</v>
      </c>
      <c r="P44" s="641"/>
      <c r="Q44" s="640">
        <f>H_Basis!K63</f>
        <v>8</v>
      </c>
      <c r="R44" s="641"/>
      <c r="S44" s="610">
        <f>H_Basis!M63</f>
        <v>1</v>
      </c>
      <c r="T44" s="611"/>
      <c r="U44" s="96"/>
      <c r="V44" s="96"/>
      <c r="W44" s="96"/>
    </row>
    <row r="45" spans="2:33" ht="12.95" customHeight="1" x14ac:dyDescent="0.2">
      <c r="B45" s="73" t="str">
        <f>H_Label!B74</f>
        <v>mar</v>
      </c>
      <c r="C45" s="640">
        <f>H_Basis!D64</f>
        <v>100</v>
      </c>
      <c r="D45" s="641"/>
      <c r="E45" s="650">
        <v>100</v>
      </c>
      <c r="F45" s="651"/>
      <c r="G45" s="650">
        <v>100</v>
      </c>
      <c r="H45" s="651"/>
      <c r="I45" s="650">
        <v>100</v>
      </c>
      <c r="J45" s="651"/>
      <c r="K45" s="650">
        <v>100</v>
      </c>
      <c r="L45" s="651"/>
      <c r="M45" s="650">
        <v>100</v>
      </c>
      <c r="N45" s="651"/>
      <c r="O45" s="640">
        <f>H_Basis!J64</f>
        <v>5</v>
      </c>
      <c r="P45" s="641"/>
      <c r="Q45" s="640">
        <f>H_Basis!K64</f>
        <v>8</v>
      </c>
      <c r="R45" s="641"/>
      <c r="S45" s="610">
        <f>H_Basis!M64</f>
        <v>1</v>
      </c>
      <c r="T45" s="611"/>
      <c r="U45" s="96"/>
      <c r="V45" s="96"/>
      <c r="W45" s="96"/>
    </row>
    <row r="46" spans="2:33" ht="12.95" customHeight="1" x14ac:dyDescent="0.2">
      <c r="B46" s="73" t="str">
        <f>H_Label!B75</f>
        <v>avr</v>
      </c>
      <c r="C46" s="640">
        <f>H_Basis!D65</f>
        <v>100</v>
      </c>
      <c r="D46" s="641"/>
      <c r="E46" s="650">
        <v>100</v>
      </c>
      <c r="F46" s="651"/>
      <c r="G46" s="650">
        <v>100</v>
      </c>
      <c r="H46" s="651"/>
      <c r="I46" s="650">
        <v>100</v>
      </c>
      <c r="J46" s="651"/>
      <c r="K46" s="650">
        <v>100</v>
      </c>
      <c r="L46" s="651"/>
      <c r="M46" s="650">
        <v>100</v>
      </c>
      <c r="N46" s="651"/>
      <c r="O46" s="640">
        <f>H_Basis!J65</f>
        <v>5</v>
      </c>
      <c r="P46" s="641"/>
      <c r="Q46" s="640">
        <f>H_Basis!K65</f>
        <v>8</v>
      </c>
      <c r="R46" s="641"/>
      <c r="S46" s="610">
        <f>H_Basis!M65</f>
        <v>1</v>
      </c>
      <c r="T46" s="611"/>
      <c r="U46" s="96"/>
      <c r="V46" s="96"/>
      <c r="W46" s="96"/>
    </row>
    <row r="47" spans="2:33" ht="12.95" customHeight="1" x14ac:dyDescent="0.2">
      <c r="B47" s="73" t="str">
        <f>H_Label!B76</f>
        <v>mai</v>
      </c>
      <c r="C47" s="640">
        <f>H_Basis!D66</f>
        <v>100</v>
      </c>
      <c r="D47" s="641"/>
      <c r="E47" s="650">
        <v>100</v>
      </c>
      <c r="F47" s="651"/>
      <c r="G47" s="650">
        <v>100</v>
      </c>
      <c r="H47" s="651"/>
      <c r="I47" s="650">
        <v>100</v>
      </c>
      <c r="J47" s="651"/>
      <c r="K47" s="650">
        <v>100</v>
      </c>
      <c r="L47" s="651"/>
      <c r="M47" s="650">
        <v>100</v>
      </c>
      <c r="N47" s="651"/>
      <c r="O47" s="640">
        <f>H_Basis!J66</f>
        <v>5</v>
      </c>
      <c r="P47" s="641"/>
      <c r="Q47" s="640">
        <f>H_Basis!K66</f>
        <v>8</v>
      </c>
      <c r="R47" s="641"/>
      <c r="S47" s="610">
        <f>H_Basis!M66</f>
        <v>1</v>
      </c>
      <c r="T47" s="611"/>
      <c r="U47" s="96"/>
      <c r="V47" s="96"/>
      <c r="W47" s="96"/>
    </row>
    <row r="48" spans="2:33" ht="12.95" customHeight="1" x14ac:dyDescent="0.2">
      <c r="B48" s="73" t="str">
        <f>H_Label!B77</f>
        <v>jun</v>
      </c>
      <c r="C48" s="640">
        <f>H_Basis!D67</f>
        <v>100</v>
      </c>
      <c r="D48" s="641"/>
      <c r="E48" s="650">
        <v>100</v>
      </c>
      <c r="F48" s="651"/>
      <c r="G48" s="650">
        <v>100</v>
      </c>
      <c r="H48" s="651"/>
      <c r="I48" s="650">
        <v>100</v>
      </c>
      <c r="J48" s="651"/>
      <c r="K48" s="650">
        <v>100</v>
      </c>
      <c r="L48" s="651"/>
      <c r="M48" s="650">
        <v>100</v>
      </c>
      <c r="N48" s="651"/>
      <c r="O48" s="640">
        <f>H_Basis!J67</f>
        <v>5</v>
      </c>
      <c r="P48" s="641"/>
      <c r="Q48" s="640">
        <f>H_Basis!K67</f>
        <v>8</v>
      </c>
      <c r="R48" s="641"/>
      <c r="S48" s="610">
        <f>H_Basis!M67</f>
        <v>1</v>
      </c>
      <c r="T48" s="611"/>
      <c r="U48" s="96"/>
      <c r="V48" s="96"/>
      <c r="W48" s="96"/>
    </row>
    <row r="49" spans="2:23" ht="12.95" customHeight="1" x14ac:dyDescent="0.2">
      <c r="B49" s="73" t="str">
        <f>H_Label!B78</f>
        <v>jul</v>
      </c>
      <c r="C49" s="640">
        <f>H_Basis!D68</f>
        <v>100</v>
      </c>
      <c r="D49" s="641"/>
      <c r="E49" s="650">
        <v>100</v>
      </c>
      <c r="F49" s="651"/>
      <c r="G49" s="650">
        <v>100</v>
      </c>
      <c r="H49" s="651"/>
      <c r="I49" s="650">
        <v>100</v>
      </c>
      <c r="J49" s="651"/>
      <c r="K49" s="650">
        <v>100</v>
      </c>
      <c r="L49" s="651"/>
      <c r="M49" s="650">
        <v>100</v>
      </c>
      <c r="N49" s="651"/>
      <c r="O49" s="640">
        <f>H_Basis!J68</f>
        <v>5</v>
      </c>
      <c r="P49" s="641"/>
      <c r="Q49" s="640">
        <f>H_Basis!K68</f>
        <v>8</v>
      </c>
      <c r="R49" s="641"/>
      <c r="S49" s="610">
        <f>H_Basis!M68</f>
        <v>1</v>
      </c>
      <c r="T49" s="611"/>
      <c r="U49" s="96"/>
      <c r="V49" s="96"/>
      <c r="W49" s="96"/>
    </row>
    <row r="50" spans="2:23" ht="12.95" customHeight="1" x14ac:dyDescent="0.2">
      <c r="B50" s="73" t="str">
        <f>H_Label!B79</f>
        <v>aoû</v>
      </c>
      <c r="C50" s="640">
        <f>H_Basis!D69</f>
        <v>100</v>
      </c>
      <c r="D50" s="641"/>
      <c r="E50" s="650">
        <v>100</v>
      </c>
      <c r="F50" s="651"/>
      <c r="G50" s="650">
        <v>100</v>
      </c>
      <c r="H50" s="651"/>
      <c r="I50" s="650">
        <v>100</v>
      </c>
      <c r="J50" s="651"/>
      <c r="K50" s="650">
        <v>100</v>
      </c>
      <c r="L50" s="651"/>
      <c r="M50" s="650">
        <v>100</v>
      </c>
      <c r="N50" s="651"/>
      <c r="O50" s="640">
        <f>H_Basis!J69</f>
        <v>5</v>
      </c>
      <c r="P50" s="641"/>
      <c r="Q50" s="640">
        <f>H_Basis!K69</f>
        <v>8</v>
      </c>
      <c r="R50" s="641"/>
      <c r="S50" s="610">
        <f>H_Basis!M69</f>
        <v>1</v>
      </c>
      <c r="T50" s="611"/>
    </row>
    <row r="51" spans="2:23" ht="12.95" customHeight="1" x14ac:dyDescent="0.2">
      <c r="B51" s="73" t="str">
        <f>H_Label!B80</f>
        <v>sep</v>
      </c>
      <c r="C51" s="640">
        <f>H_Basis!D70</f>
        <v>100</v>
      </c>
      <c r="D51" s="641"/>
      <c r="E51" s="650">
        <v>100</v>
      </c>
      <c r="F51" s="651"/>
      <c r="G51" s="650">
        <v>100</v>
      </c>
      <c r="H51" s="651"/>
      <c r="I51" s="650">
        <v>100</v>
      </c>
      <c r="J51" s="651"/>
      <c r="K51" s="650">
        <v>100</v>
      </c>
      <c r="L51" s="651"/>
      <c r="M51" s="650">
        <v>100</v>
      </c>
      <c r="N51" s="651"/>
      <c r="O51" s="640">
        <f>H_Basis!J70</f>
        <v>5</v>
      </c>
      <c r="P51" s="641"/>
      <c r="Q51" s="640">
        <f>H_Basis!K70</f>
        <v>8</v>
      </c>
      <c r="R51" s="641"/>
      <c r="S51" s="610">
        <f>H_Basis!M70</f>
        <v>1</v>
      </c>
      <c r="T51" s="611"/>
    </row>
    <row r="52" spans="2:23" ht="12.95" customHeight="1" x14ac:dyDescent="0.2">
      <c r="B52" s="73" t="str">
        <f>H_Label!B81</f>
        <v>oct</v>
      </c>
      <c r="C52" s="640">
        <f>H_Basis!D71</f>
        <v>100</v>
      </c>
      <c r="D52" s="641"/>
      <c r="E52" s="650">
        <v>100</v>
      </c>
      <c r="F52" s="651"/>
      <c r="G52" s="650">
        <v>100</v>
      </c>
      <c r="H52" s="651"/>
      <c r="I52" s="650">
        <v>100</v>
      </c>
      <c r="J52" s="651"/>
      <c r="K52" s="650">
        <v>100</v>
      </c>
      <c r="L52" s="651"/>
      <c r="M52" s="650">
        <v>100</v>
      </c>
      <c r="N52" s="651"/>
      <c r="O52" s="640">
        <f>H_Basis!J71</f>
        <v>5</v>
      </c>
      <c r="P52" s="641"/>
      <c r="Q52" s="640">
        <f>H_Basis!K71</f>
        <v>8</v>
      </c>
      <c r="R52" s="641"/>
      <c r="S52" s="610">
        <f>H_Basis!M71</f>
        <v>1</v>
      </c>
      <c r="T52" s="611"/>
    </row>
    <row r="53" spans="2:23" ht="12.95" customHeight="1" x14ac:dyDescent="0.2">
      <c r="B53" s="73" t="str">
        <f>H_Label!B82</f>
        <v>nov</v>
      </c>
      <c r="C53" s="640">
        <f>H_Basis!D72</f>
        <v>100</v>
      </c>
      <c r="D53" s="641"/>
      <c r="E53" s="650">
        <v>100</v>
      </c>
      <c r="F53" s="651"/>
      <c r="G53" s="650">
        <v>100</v>
      </c>
      <c r="H53" s="651"/>
      <c r="I53" s="650">
        <v>100</v>
      </c>
      <c r="J53" s="651"/>
      <c r="K53" s="650">
        <v>100</v>
      </c>
      <c r="L53" s="651"/>
      <c r="M53" s="650">
        <v>100</v>
      </c>
      <c r="N53" s="651"/>
      <c r="O53" s="640">
        <f>H_Basis!J72</f>
        <v>5</v>
      </c>
      <c r="P53" s="641"/>
      <c r="Q53" s="640">
        <f>H_Basis!K72</f>
        <v>8</v>
      </c>
      <c r="R53" s="641"/>
      <c r="S53" s="610">
        <f>H_Basis!M72</f>
        <v>1</v>
      </c>
      <c r="T53" s="611"/>
    </row>
    <row r="54" spans="2:23" ht="12.95" customHeight="1" thickBot="1" x14ac:dyDescent="0.25">
      <c r="B54" s="77" t="str">
        <f>H_Label!B83</f>
        <v>déc</v>
      </c>
      <c r="C54" s="640">
        <f>H_Basis!D73</f>
        <v>100</v>
      </c>
      <c r="D54" s="641"/>
      <c r="E54" s="650">
        <v>100</v>
      </c>
      <c r="F54" s="651"/>
      <c r="G54" s="650">
        <v>100</v>
      </c>
      <c r="H54" s="651"/>
      <c r="I54" s="650">
        <v>100</v>
      </c>
      <c r="J54" s="651"/>
      <c r="K54" s="650">
        <v>100</v>
      </c>
      <c r="L54" s="651"/>
      <c r="M54" s="650">
        <v>100</v>
      </c>
      <c r="N54" s="651"/>
      <c r="O54" s="648">
        <f>H_Basis!J73</f>
        <v>5</v>
      </c>
      <c r="P54" s="649"/>
      <c r="Q54" s="648">
        <f>H_Basis!K73</f>
        <v>8</v>
      </c>
      <c r="R54" s="649"/>
      <c r="S54" s="644">
        <f>H_Basis!M73</f>
        <v>1</v>
      </c>
      <c r="T54" s="645"/>
    </row>
    <row r="55" spans="2:23" ht="17.45" customHeight="1" x14ac:dyDescent="0.2">
      <c r="B55" s="78" t="s">
        <v>80</v>
      </c>
      <c r="C55" s="642">
        <f>H_Basis!D74</f>
        <v>100</v>
      </c>
      <c r="D55" s="643"/>
      <c r="E55" s="642">
        <f>H_Basis!E74</f>
        <v>100</v>
      </c>
      <c r="F55" s="643"/>
      <c r="G55" s="642">
        <f>H_Basis!F74</f>
        <v>100</v>
      </c>
      <c r="H55" s="643"/>
      <c r="I55" s="642">
        <f>H_Basis!G74</f>
        <v>100</v>
      </c>
      <c r="J55" s="643"/>
      <c r="K55" s="642">
        <f>H_Basis!H74</f>
        <v>100</v>
      </c>
      <c r="L55" s="643"/>
      <c r="M55" s="642">
        <f>H_Basis!I74</f>
        <v>100</v>
      </c>
      <c r="N55" s="643"/>
      <c r="O55" s="642">
        <f>H_Basis!J74</f>
        <v>5</v>
      </c>
      <c r="P55" s="643"/>
      <c r="Q55" s="642">
        <f>H_Basis!K74</f>
        <v>8</v>
      </c>
      <c r="R55" s="643"/>
      <c r="S55" s="646">
        <f>H_Basis!L74</f>
        <v>1</v>
      </c>
      <c r="T55" s="647"/>
    </row>
    <row r="56" spans="2:23" ht="9.9499999999999993" customHeight="1" x14ac:dyDescent="0.2"/>
    <row r="57" spans="2:23" ht="9.9499999999999993" customHeight="1" x14ac:dyDescent="0.2">
      <c r="C57" s="96"/>
      <c r="D57" s="96"/>
      <c r="E57" s="96"/>
      <c r="F57" s="96"/>
      <c r="G57" s="96"/>
      <c r="H57" s="96"/>
      <c r="I57" s="96"/>
    </row>
    <row r="58" spans="2:23" ht="9.9499999999999993" customHeight="1" x14ac:dyDescent="0.2">
      <c r="B58" s="141"/>
      <c r="C58" s="96"/>
      <c r="D58" s="96"/>
      <c r="E58" s="96"/>
      <c r="F58" s="96"/>
      <c r="G58" s="96"/>
      <c r="H58" s="96"/>
      <c r="I58" s="96"/>
    </row>
    <row r="59" spans="2:23" x14ac:dyDescent="0.2">
      <c r="B59" s="103" t="str">
        <f>H_Label!B114</f>
        <v>aide de la conversion</v>
      </c>
      <c r="C59" s="96"/>
      <c r="D59" s="96"/>
      <c r="E59" s="96"/>
      <c r="F59" s="96"/>
      <c r="G59" s="96"/>
      <c r="H59" s="96"/>
      <c r="I59" s="96"/>
    </row>
    <row r="60" spans="2:23" x14ac:dyDescent="0.2">
      <c r="B60" s="96"/>
      <c r="C60" s="96"/>
      <c r="D60" s="96"/>
      <c r="E60" s="96"/>
      <c r="F60" s="96"/>
      <c r="G60" s="96"/>
      <c r="H60" s="96"/>
      <c r="I60" s="96"/>
    </row>
    <row r="61" spans="2:23" x14ac:dyDescent="0.2">
      <c r="B61" s="620" t="str">
        <f>H_Label!B131</f>
        <v>temps
hh:mm</v>
      </c>
      <c r="C61" s="621"/>
      <c r="D61" s="620" t="str">
        <f>H_Label!B132</f>
        <v>temps
dec.</v>
      </c>
      <c r="E61" s="621"/>
      <c r="F61" s="620" t="str">
        <f>H_Label!B133</f>
        <v>% p. 8h/jour</v>
      </c>
      <c r="G61" s="621"/>
      <c r="H61" s="96"/>
      <c r="I61" s="96"/>
    </row>
    <row r="62" spans="2:23" x14ac:dyDescent="0.2">
      <c r="B62" s="622"/>
      <c r="C62" s="623"/>
      <c r="D62" s="622"/>
      <c r="E62" s="623"/>
      <c r="F62" s="622"/>
      <c r="G62" s="623"/>
      <c r="H62" s="96"/>
      <c r="I62" s="96"/>
    </row>
    <row r="63" spans="2:23" x14ac:dyDescent="0.2">
      <c r="B63" s="612">
        <v>0.33333333333333331</v>
      </c>
      <c r="C63" s="613"/>
      <c r="D63" s="624">
        <f>B63*24</f>
        <v>8</v>
      </c>
      <c r="E63" s="625"/>
      <c r="F63" s="632">
        <f>D63/Admin_Konfig!$G$22</f>
        <v>1</v>
      </c>
      <c r="G63" s="633"/>
      <c r="H63" s="96"/>
      <c r="I63" s="96"/>
    </row>
    <row r="64" spans="2:23" x14ac:dyDescent="0.2">
      <c r="B64" s="614"/>
      <c r="C64" s="615"/>
      <c r="D64" s="626"/>
      <c r="E64" s="627"/>
      <c r="F64" s="634"/>
      <c r="G64" s="635"/>
      <c r="H64" s="96"/>
      <c r="I64" s="96"/>
    </row>
    <row r="65" spans="2:9" x14ac:dyDescent="0.2">
      <c r="B65" s="616">
        <f>D65/24</f>
        <v>0.33333333333333331</v>
      </c>
      <c r="C65" s="617"/>
      <c r="D65" s="628">
        <v>8</v>
      </c>
      <c r="E65" s="629"/>
      <c r="F65" s="632">
        <f>D65/Admin_Konfig!$G$22</f>
        <v>1</v>
      </c>
      <c r="G65" s="633"/>
      <c r="H65" s="96"/>
      <c r="I65" s="96"/>
    </row>
    <row r="66" spans="2:9" x14ac:dyDescent="0.2">
      <c r="B66" s="618"/>
      <c r="C66" s="619"/>
      <c r="D66" s="630"/>
      <c r="E66" s="631"/>
      <c r="F66" s="634"/>
      <c r="G66" s="635"/>
      <c r="H66" s="96"/>
      <c r="I66" s="96"/>
    </row>
    <row r="67" spans="2:9" x14ac:dyDescent="0.2">
      <c r="B67" s="616">
        <f>D67/24</f>
        <v>0.33333333333333331</v>
      </c>
      <c r="C67" s="617"/>
      <c r="D67" s="624">
        <f>Admin_Konfig!$G$22*F67</f>
        <v>8</v>
      </c>
      <c r="E67" s="625"/>
      <c r="F67" s="636">
        <v>1</v>
      </c>
      <c r="G67" s="637"/>
      <c r="H67" s="96"/>
      <c r="I67" s="96"/>
    </row>
    <row r="68" spans="2:9" x14ac:dyDescent="0.2">
      <c r="B68" s="618"/>
      <c r="C68" s="619"/>
      <c r="D68" s="626"/>
      <c r="E68" s="627"/>
      <c r="F68" s="638"/>
      <c r="G68" s="639"/>
      <c r="H68" s="96"/>
      <c r="I68" s="96"/>
    </row>
  </sheetData>
  <sheetProtection algorithmName="SHA-512" hashValue="bdOBaqPy54qtlDmXAyTXRHzlvnIkynuxaIXmlIQ95KJp6MRb1og4zcRZM3ZkEwcrobQJMCp2qD89y6AIdInWcQ==" saltValue="zDwDZBorYFn89XMMef3xpQ==" spinCount="100000" sheet="1" objects="1" scenarios="1"/>
  <dataConsolidate/>
  <mergeCells count="169">
    <mergeCell ref="AE9:AG9"/>
    <mergeCell ref="AA7:AG7"/>
    <mergeCell ref="G9:O9"/>
    <mergeCell ref="Q9:Y9"/>
    <mergeCell ref="U1:X1"/>
    <mergeCell ref="AB12:AD12"/>
    <mergeCell ref="G3:O3"/>
    <mergeCell ref="G6:O6"/>
    <mergeCell ref="Q6:Y6"/>
    <mergeCell ref="Q7:Y7"/>
    <mergeCell ref="AA6:AG6"/>
    <mergeCell ref="G5:O5"/>
    <mergeCell ref="Q5:Y5"/>
    <mergeCell ref="AA5:AG5"/>
    <mergeCell ref="G8:O8"/>
    <mergeCell ref="Q8:Y8"/>
    <mergeCell ref="AA8:AC8"/>
    <mergeCell ref="AE8:AG8"/>
    <mergeCell ref="AA9:AC9"/>
    <mergeCell ref="B37:AG37"/>
    <mergeCell ref="C42:D42"/>
    <mergeCell ref="C43:D43"/>
    <mergeCell ref="K12:M12"/>
    <mergeCell ref="K13:M13"/>
    <mergeCell ref="I42:J42"/>
    <mergeCell ref="I43:J43"/>
    <mergeCell ref="M42:N42"/>
    <mergeCell ref="M43:N43"/>
    <mergeCell ref="S42:T42"/>
    <mergeCell ref="S43:T43"/>
    <mergeCell ref="F40:G40"/>
    <mergeCell ref="M40:N40"/>
    <mergeCell ref="B40:E40"/>
    <mergeCell ref="I40:L40"/>
    <mergeCell ref="B19:Q19"/>
    <mergeCell ref="R19:AG19"/>
    <mergeCell ref="K42:L42"/>
    <mergeCell ref="K43:L43"/>
    <mergeCell ref="Q42:R42"/>
    <mergeCell ref="Q43:R43"/>
    <mergeCell ref="Y15:AA16"/>
    <mergeCell ref="AB13:AD13"/>
    <mergeCell ref="AB15:AD16"/>
    <mergeCell ref="E47:F47"/>
    <mergeCell ref="E48:F48"/>
    <mergeCell ref="E49:F49"/>
    <mergeCell ref="C50:D50"/>
    <mergeCell ref="C51:D51"/>
    <mergeCell ref="C52:D52"/>
    <mergeCell ref="C53:D53"/>
    <mergeCell ref="C54:D54"/>
    <mergeCell ref="E42:F42"/>
    <mergeCell ref="E43:F43"/>
    <mergeCell ref="E44:F44"/>
    <mergeCell ref="E45:F45"/>
    <mergeCell ref="E46:F46"/>
    <mergeCell ref="C44:D44"/>
    <mergeCell ref="C45:D45"/>
    <mergeCell ref="C46:D46"/>
    <mergeCell ref="C47:D47"/>
    <mergeCell ref="C48:D48"/>
    <mergeCell ref="C49:D49"/>
    <mergeCell ref="E53:F53"/>
    <mergeCell ref="E54:F54"/>
    <mergeCell ref="E50:F50"/>
    <mergeCell ref="E51:F51"/>
    <mergeCell ref="E52:F52"/>
    <mergeCell ref="I50:J50"/>
    <mergeCell ref="I51:J51"/>
    <mergeCell ref="G42:H42"/>
    <mergeCell ref="G43:H43"/>
    <mergeCell ref="G44:H44"/>
    <mergeCell ref="G45:H45"/>
    <mergeCell ref="G46:H46"/>
    <mergeCell ref="G47:H47"/>
    <mergeCell ref="G48:H48"/>
    <mergeCell ref="G49:H49"/>
    <mergeCell ref="K46:L46"/>
    <mergeCell ref="K47:L47"/>
    <mergeCell ref="K48:L48"/>
    <mergeCell ref="K49:L49"/>
    <mergeCell ref="I44:J44"/>
    <mergeCell ref="I45:J45"/>
    <mergeCell ref="I46:J46"/>
    <mergeCell ref="I47:J47"/>
    <mergeCell ref="I48:J48"/>
    <mergeCell ref="I49:J49"/>
    <mergeCell ref="O42:P42"/>
    <mergeCell ref="O43:P43"/>
    <mergeCell ref="O44:P44"/>
    <mergeCell ref="O45:P45"/>
    <mergeCell ref="O46:P46"/>
    <mergeCell ref="O47:P47"/>
    <mergeCell ref="O48:P48"/>
    <mergeCell ref="O49:P49"/>
    <mergeCell ref="M47:N47"/>
    <mergeCell ref="M48:N48"/>
    <mergeCell ref="M49:N49"/>
    <mergeCell ref="M44:N44"/>
    <mergeCell ref="M45:N45"/>
    <mergeCell ref="M46:N46"/>
    <mergeCell ref="K50:L50"/>
    <mergeCell ref="K51:L51"/>
    <mergeCell ref="I52:J52"/>
    <mergeCell ref="G50:H50"/>
    <mergeCell ref="Q44:R44"/>
    <mergeCell ref="Q45:R45"/>
    <mergeCell ref="Q46:R46"/>
    <mergeCell ref="M53:N53"/>
    <mergeCell ref="M54:N54"/>
    <mergeCell ref="M50:N50"/>
    <mergeCell ref="M51:N51"/>
    <mergeCell ref="M52:N52"/>
    <mergeCell ref="Q47:R47"/>
    <mergeCell ref="Q48:R48"/>
    <mergeCell ref="Q49:R49"/>
    <mergeCell ref="Q50:R50"/>
    <mergeCell ref="Q51:R51"/>
    <mergeCell ref="G51:H51"/>
    <mergeCell ref="G52:H52"/>
    <mergeCell ref="K52:L52"/>
    <mergeCell ref="K53:L53"/>
    <mergeCell ref="K54:L54"/>
    <mergeCell ref="K44:L44"/>
    <mergeCell ref="K45:L45"/>
    <mergeCell ref="O52:P52"/>
    <mergeCell ref="O55:P55"/>
    <mergeCell ref="Q55:R55"/>
    <mergeCell ref="S53:T53"/>
    <mergeCell ref="S54:T54"/>
    <mergeCell ref="S55:T55"/>
    <mergeCell ref="C55:D55"/>
    <mergeCell ref="E55:F55"/>
    <mergeCell ref="G55:H55"/>
    <mergeCell ref="I55:J55"/>
    <mergeCell ref="K55:L55"/>
    <mergeCell ref="M55:N55"/>
    <mergeCell ref="Q53:R53"/>
    <mergeCell ref="Q54:R54"/>
    <mergeCell ref="O53:P53"/>
    <mergeCell ref="O54:P54"/>
    <mergeCell ref="I53:J53"/>
    <mergeCell ref="I54:J54"/>
    <mergeCell ref="G53:H53"/>
    <mergeCell ref="G54:H54"/>
    <mergeCell ref="S44:T44"/>
    <mergeCell ref="S45:T45"/>
    <mergeCell ref="S46:T46"/>
    <mergeCell ref="S47:T47"/>
    <mergeCell ref="S48:T48"/>
    <mergeCell ref="S49:T49"/>
    <mergeCell ref="B63:C64"/>
    <mergeCell ref="B65:C66"/>
    <mergeCell ref="B67:C68"/>
    <mergeCell ref="B61:C62"/>
    <mergeCell ref="D61:E62"/>
    <mergeCell ref="D63:E64"/>
    <mergeCell ref="D65:E66"/>
    <mergeCell ref="D67:E68"/>
    <mergeCell ref="F61:G62"/>
    <mergeCell ref="F63:G64"/>
    <mergeCell ref="F65:G66"/>
    <mergeCell ref="F67:G68"/>
    <mergeCell ref="S50:T50"/>
    <mergeCell ref="S51:T51"/>
    <mergeCell ref="S52:T52"/>
    <mergeCell ref="Q52:R52"/>
    <mergeCell ref="O50:P50"/>
    <mergeCell ref="O51:P51"/>
  </mergeCells>
  <conditionalFormatting sqref="C21:AG32">
    <cfRule type="expression" dxfId="232" priority="4">
      <formula>AND(WEEKDAY(DATE(A_Jahr,$A21,C$20),2)=6,MONTH(DATE(A_Jahr,$A21,C$20))=$A21)</formula>
    </cfRule>
    <cfRule type="expression" dxfId="231" priority="5">
      <formula>AND(WEEKDAY(DATE(A_Jahr,$A21,C$20),2)=7,MONTH(DATE(A_Jahr,$A21,C$20))=$A21)</formula>
    </cfRule>
  </conditionalFormatting>
  <conditionalFormatting sqref="Q10">
    <cfRule type="expression" dxfId="228" priority="1">
      <formula>$AB$13="!"</formula>
    </cfRule>
  </conditionalFormatting>
  <conditionalFormatting sqref="AB12:AD12">
    <cfRule type="expression" dxfId="227" priority="164">
      <formula>$AB$15="ja"</formula>
    </cfRule>
  </conditionalFormatting>
  <conditionalFormatting sqref="AB13:AD13">
    <cfRule type="expression" dxfId="226" priority="165">
      <formula>$AB$15="ja"</formula>
    </cfRule>
  </conditionalFormatting>
  <dataValidations count="2">
    <dataValidation type="custom" showErrorMessage="1" errorTitle="Sonntag" error="keine Eingabe möglich" sqref="C21:AG32" xr:uid="{A13629A5-1774-4AB6-8C29-6D842976B810}">
      <formula1>WEEKDAY(DATE(A_Jahr,$A21,C$20),2)&lt;&gt;7</formula1>
    </dataValidation>
    <dataValidation type="date" allowBlank="1" showInputMessage="1" showErrorMessage="1" errorTitle="Datum" error="Gültiges Stichdatum eingeben" sqref="AE9:AG9" xr:uid="{7E24536E-C09E-4DFB-9E29-D0FD6D77AC37}">
      <formula1>DATE(A_Jahr,1,1)</formula1>
      <formula2>DATE(A_Jahr,12,31)</formula2>
    </dataValidation>
  </dataValidations>
  <pageMargins left="0.70866141732283472" right="0.31496062992125984" top="0.59055118110236227" bottom="0.59055118110236227" header="0.31496062992125984" footer="0.31496062992125984"/>
  <pageSetup paperSize="9" scale="71" orientation="portrait" r:id="rId1"/>
  <headerFooter>
    <oddFooter>&amp;CSeite &amp;P</oddFooter>
  </headerFooter>
  <ignoredErrors>
    <ignoredError sqref="Q7:Y7 AA7:AG7 Q6:Y6 AB6:AG6 G3" unlockedFormula="1"/>
  </ignoredErrors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00000000-000E-0000-0900-000006000000}">
            <xm:f>AND($M$40=H_Label!$B$117,E$42&lt;&gt;$E$42)</xm:f>
            <x14:dxf>
              <font>
                <color theme="0" tint="-4.9989318521683403E-2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155" id="{00000000-000E-0000-0900-00009B000000}">
            <xm:f>AND($F$40=H_Label!$B$117,$B43&lt;&gt;$B$43)</xm:f>
            <x14:dxf>
              <font>
                <color theme="0" tint="-4.9989318521683403E-2"/>
              </font>
              <fill>
                <patternFill>
                  <bgColor theme="0" tint="-4.9989318521683403E-2"/>
                </patternFill>
              </fill>
            </x14:dxf>
          </x14:cfRule>
          <xm:sqref>E43:N54</xm:sqref>
        </x14:conditionalFormatting>
        <x14:conditionalFormatting xmlns:xm="http://schemas.microsoft.com/office/excel/2006/main">
          <x14:cfRule type="expression" priority="8" id="{A0A06649-3960-4125-B6DA-FA8773B999B5}">
            <xm:f>Admin_Konfig!$F$7="j"</xm:f>
            <x14:dxf>
              <fill>
                <patternFill patternType="solid">
                  <bgColor rgb="FFFFFF99"/>
                </patternFill>
              </fill>
              <border>
                <right style="thin">
                  <color auto="1"/>
                </right>
                <vertical/>
                <horizontal/>
              </border>
            </x14:dxf>
          </x14:cfRule>
          <xm:sqref>AE22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91AE37D-8ED8-4611-ACB3-C470A2AE9903}">
          <x14:formula1>
            <xm:f>H_Label!$B$117:$B$118</xm:f>
          </x14:formula1>
          <xm:sqref>F40:G40 M40:N40 AB15:AD16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43EDB-57E3-42B3-9061-0C0CD62A120E}">
  <sheetPr codeName="ts01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:S27"/>
      <selection pane="bottomLeft" activeCell="R27" sqref="R27:S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13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13"/>
      <c r="F3" s="550" t="str">
        <f>H_Label!B32</f>
        <v>heures année passée</v>
      </c>
      <c r="G3" s="551"/>
      <c r="H3" s="551"/>
      <c r="I3" s="551"/>
      <c r="J3" s="812" t="str">
        <f>TEXT('report annuel'!$X$34,"0.00")&amp;" / "&amp;TEXT(B_fldSaldoVJ,"0.00")</f>
        <v>0.00 / 0.00</v>
      </c>
      <c r="K3" s="812"/>
      <c r="L3" s="812"/>
      <c r="M3" s="552"/>
      <c r="N3" s="552"/>
      <c r="O3" s="550" t="str">
        <f>H_Label!B33</f>
        <v>heures année en cours</v>
      </c>
      <c r="P3" s="551"/>
      <c r="Q3" s="551"/>
      <c r="R3" s="551"/>
      <c r="S3" s="551"/>
      <c r="T3" s="831">
        <f>'report annuel'!$AD$43</f>
        <v>-2016</v>
      </c>
      <c r="U3" s="831"/>
      <c r="V3" s="831"/>
      <c r="W3" s="552"/>
      <c r="X3" s="552"/>
      <c r="Y3" s="550" t="str">
        <f>H_Label!B34</f>
        <v>se des vacences</v>
      </c>
      <c r="Z3" s="551"/>
      <c r="AA3" s="551"/>
      <c r="AB3" s="812" t="str">
        <f ca="1">TEXT(H_fldFerienEndSaldo,"0.00")&amp;" / "&amp;TEXT(H_fldFerienSaldoKORR,"0.00")</f>
        <v>176.00 / 176.00</v>
      </c>
      <c r="AC3" s="812"/>
      <c r="AD3" s="812"/>
      <c r="AF3" s="148"/>
      <c r="AG3" s="148"/>
      <c r="AH3" s="148"/>
      <c r="AI3" s="148"/>
      <c r="AJ3" s="148"/>
    </row>
    <row r="4" spans="1:46" ht="13.5" customHeight="1" x14ac:dyDescent="0.25">
      <c r="D4" s="813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taux d'occupation réel</v>
      </c>
      <c r="AH5" s="527"/>
      <c r="AI5" s="830">
        <f>AN54</f>
        <v>1</v>
      </c>
      <c r="AJ5" s="830"/>
      <c r="AK5" s="388"/>
    </row>
    <row r="6" spans="1:46" ht="27.95" customHeight="1" x14ac:dyDescent="0.25">
      <c r="D6" s="174" t="str">
        <f>H_Label!$B$221 &amp;" "&amp;TEXT('fiche du personnel'!$U$1,"JJJJ")</f>
        <v>Contrôle des heures de travail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28" t="str">
        <f>'fiche du personnel'!$G$3</f>
        <v>Peinture Exemple SA</v>
      </c>
      <c r="Z6" s="828"/>
      <c r="AA6" s="828"/>
      <c r="AB6" s="828"/>
      <c r="AC6" s="828"/>
      <c r="AD6" s="828"/>
      <c r="AE6" s="828"/>
      <c r="AF6" s="828"/>
      <c r="AG6" s="828"/>
      <c r="AH6" s="828"/>
      <c r="AI6" s="828"/>
      <c r="AJ6" s="829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employé</v>
      </c>
      <c r="E8" s="31"/>
      <c r="F8" s="820" t="str">
        <f>'fiche du personnel'!$G$6</f>
        <v>Martin Dupont</v>
      </c>
      <c r="G8" s="821"/>
      <c r="H8" s="821"/>
      <c r="I8" s="821"/>
      <c r="J8" s="821"/>
      <c r="K8" s="822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occupation (%)</v>
      </c>
      <c r="E9" s="374"/>
      <c r="F9" s="823" cm="1">
        <f t="array" ref="F9">SUMPRODUCT((H_tblBGMnt=M_Monat)*H_tblBGavg)</f>
        <v>100</v>
      </c>
      <c r="G9" s="824"/>
      <c r="H9" s="825" t="str">
        <f>H_Label!B224&amp;" "&amp;D12</f>
        <v>en janvier</v>
      </c>
      <c r="I9" s="826"/>
      <c r="J9" s="826"/>
      <c r="K9" s="827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se pour l'année</v>
      </c>
      <c r="E10" s="89"/>
      <c r="F10" s="838">
        <f>DATE(A_Jahr,AM13,1)</f>
        <v>46023</v>
      </c>
      <c r="G10" s="839"/>
      <c r="H10" s="840">
        <f>'report annuel'!AF42</f>
        <v>-2016</v>
      </c>
      <c r="I10" s="841"/>
      <c r="J10" s="841"/>
      <c r="K10" s="842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11" t="s">
        <v>501</v>
      </c>
      <c r="D12" s="494" t="str">
        <f>TEXT($F$10,"MMMM"&amp;H_Label!$B$23)</f>
        <v>janvier</v>
      </c>
      <c r="E12" s="375"/>
      <c r="F12" s="843" t="str">
        <f>H_Label!B231</f>
        <v>se mois + / -</v>
      </c>
      <c r="G12" s="844"/>
      <c r="H12" s="844"/>
      <c r="I12" s="845"/>
      <c r="J12" s="846" cm="1">
        <f t="array" ref="J12">INDEX(H_dMNTCurrentSaldo,1,M_Monat)</f>
        <v>-160</v>
      </c>
      <c r="K12" s="847"/>
      <c r="L12" s="157"/>
      <c r="M12" s="158"/>
      <c r="N12" s="202"/>
      <c r="O12" s="159" t="str">
        <f>H_Label!B240</f>
        <v xml:space="preserve"> = </v>
      </c>
      <c r="P12" s="151" t="str">
        <f>H_Label!B241</f>
        <v>seules les cases/champs jaunes sont saisissables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11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1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11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1</v>
      </c>
      <c r="AI14" s="410">
        <f t="shared" si="0"/>
        <v>1</v>
      </c>
      <c r="AJ14" s="411">
        <f t="shared" si="0"/>
        <v>1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11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3</v>
      </c>
      <c r="AH15" s="418">
        <f t="shared" si="1"/>
        <v>3</v>
      </c>
      <c r="AI15" s="418">
        <f t="shared" si="1"/>
        <v>3</v>
      </c>
      <c r="AJ15" s="419">
        <f t="shared" si="1"/>
        <v>2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46023</v>
      </c>
      <c r="G16" s="422">
        <f>F$16+1</f>
        <v>46024</v>
      </c>
      <c r="H16" s="422">
        <f t="shared" ref="H16:AJ16" si="2">G$16+1</f>
        <v>46025</v>
      </c>
      <c r="I16" s="422">
        <f t="shared" si="2"/>
        <v>46026</v>
      </c>
      <c r="J16" s="422">
        <f t="shared" si="2"/>
        <v>46027</v>
      </c>
      <c r="K16" s="422">
        <f t="shared" si="2"/>
        <v>46028</v>
      </c>
      <c r="L16" s="423">
        <f t="shared" si="2"/>
        <v>46029</v>
      </c>
      <c r="M16" s="423">
        <f t="shared" si="2"/>
        <v>46030</v>
      </c>
      <c r="N16" s="424">
        <f t="shared" si="2"/>
        <v>46031</v>
      </c>
      <c r="O16" s="425">
        <f t="shared" si="2"/>
        <v>46032</v>
      </c>
      <c r="P16" s="425">
        <f t="shared" si="2"/>
        <v>46033</v>
      </c>
      <c r="Q16" s="425">
        <f t="shared" si="2"/>
        <v>46034</v>
      </c>
      <c r="R16" s="425">
        <f t="shared" si="2"/>
        <v>46035</v>
      </c>
      <c r="S16" s="425">
        <f t="shared" si="2"/>
        <v>46036</v>
      </c>
      <c r="T16" s="425">
        <f t="shared" si="2"/>
        <v>46037</v>
      </c>
      <c r="U16" s="425">
        <f t="shared" si="2"/>
        <v>46038</v>
      </c>
      <c r="V16" s="425">
        <f t="shared" si="2"/>
        <v>46039</v>
      </c>
      <c r="W16" s="425">
        <f t="shared" si="2"/>
        <v>46040</v>
      </c>
      <c r="X16" s="425">
        <f t="shared" si="2"/>
        <v>46041</v>
      </c>
      <c r="Y16" s="425">
        <f t="shared" si="2"/>
        <v>46042</v>
      </c>
      <c r="Z16" s="425">
        <f t="shared" si="2"/>
        <v>46043</v>
      </c>
      <c r="AA16" s="425">
        <f t="shared" si="2"/>
        <v>46044</v>
      </c>
      <c r="AB16" s="425">
        <f t="shared" si="2"/>
        <v>46045</v>
      </c>
      <c r="AC16" s="425">
        <f t="shared" si="2"/>
        <v>46046</v>
      </c>
      <c r="AD16" s="425">
        <f t="shared" si="2"/>
        <v>46047</v>
      </c>
      <c r="AE16" s="425">
        <f t="shared" si="2"/>
        <v>46048</v>
      </c>
      <c r="AF16" s="426">
        <f t="shared" si="2"/>
        <v>46049</v>
      </c>
      <c r="AG16" s="426">
        <f t="shared" si="2"/>
        <v>46050</v>
      </c>
      <c r="AH16" s="426">
        <f t="shared" si="2"/>
        <v>46051</v>
      </c>
      <c r="AI16" s="426">
        <f t="shared" si="2"/>
        <v>46052</v>
      </c>
      <c r="AJ16" s="427">
        <f t="shared" si="2"/>
        <v>46053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semaine civile</v>
      </c>
      <c r="E17" s="291"/>
      <c r="F17" s="205">
        <f>WEEKNUM(F$16,21)</f>
        <v>1</v>
      </c>
      <c r="G17" s="203">
        <f t="shared" ref="G17:AJ17" si="3">WEEKNUM(G$16,21)</f>
        <v>1</v>
      </c>
      <c r="H17" s="203">
        <f t="shared" si="3"/>
        <v>1</v>
      </c>
      <c r="I17" s="203">
        <f t="shared" si="3"/>
        <v>1</v>
      </c>
      <c r="J17" s="203">
        <f t="shared" si="3"/>
        <v>2</v>
      </c>
      <c r="K17" s="203">
        <f t="shared" si="3"/>
        <v>2</v>
      </c>
      <c r="L17" s="203">
        <f t="shared" si="3"/>
        <v>2</v>
      </c>
      <c r="M17" s="203">
        <f t="shared" si="3"/>
        <v>2</v>
      </c>
      <c r="N17" s="203">
        <f t="shared" si="3"/>
        <v>2</v>
      </c>
      <c r="O17" s="203">
        <f t="shared" si="3"/>
        <v>2</v>
      </c>
      <c r="P17" s="203">
        <f t="shared" si="3"/>
        <v>2</v>
      </c>
      <c r="Q17" s="203">
        <f t="shared" si="3"/>
        <v>3</v>
      </c>
      <c r="R17" s="203">
        <f t="shared" si="3"/>
        <v>3</v>
      </c>
      <c r="S17" s="203">
        <f t="shared" si="3"/>
        <v>3</v>
      </c>
      <c r="T17" s="203">
        <f t="shared" si="3"/>
        <v>3</v>
      </c>
      <c r="U17" s="203">
        <f t="shared" si="3"/>
        <v>3</v>
      </c>
      <c r="V17" s="203">
        <f t="shared" si="3"/>
        <v>3</v>
      </c>
      <c r="W17" s="203">
        <f t="shared" si="3"/>
        <v>3</v>
      </c>
      <c r="X17" s="203">
        <f t="shared" si="3"/>
        <v>4</v>
      </c>
      <c r="Y17" s="203">
        <f t="shared" si="3"/>
        <v>4</v>
      </c>
      <c r="Z17" s="203">
        <f t="shared" si="3"/>
        <v>4</v>
      </c>
      <c r="AA17" s="203">
        <f t="shared" si="3"/>
        <v>4</v>
      </c>
      <c r="AB17" s="203">
        <f t="shared" si="3"/>
        <v>4</v>
      </c>
      <c r="AC17" s="203">
        <f t="shared" si="3"/>
        <v>4</v>
      </c>
      <c r="AD17" s="203">
        <f t="shared" si="3"/>
        <v>4</v>
      </c>
      <c r="AE17" s="203">
        <f t="shared" si="3"/>
        <v>5</v>
      </c>
      <c r="AF17" s="203">
        <f t="shared" si="3"/>
        <v>5</v>
      </c>
      <c r="AG17" s="203">
        <f t="shared" si="3"/>
        <v>5</v>
      </c>
      <c r="AH17" s="203">
        <f t="shared" si="3"/>
        <v>5</v>
      </c>
      <c r="AI17" s="203">
        <f t="shared" si="3"/>
        <v>5</v>
      </c>
      <c r="AJ17" s="204">
        <f t="shared" si="3"/>
        <v>5</v>
      </c>
      <c r="AK17" s="398"/>
      <c r="AL17" s="114" cm="1">
        <f t="array" ref="AL17">SUM(IF(FREQUENCY(F17:AJ17,F17:AJ17)&gt;0,1))</f>
        <v>5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46023</v>
      </c>
      <c r="G18" s="28">
        <f t="shared" ref="G18:AJ18" si="4">IF(G14,G16,0)</f>
        <v>46024</v>
      </c>
      <c r="H18" s="27">
        <f t="shared" si="4"/>
        <v>46025</v>
      </c>
      <c r="I18" s="27">
        <f t="shared" si="4"/>
        <v>46026</v>
      </c>
      <c r="J18" s="27">
        <f t="shared" si="4"/>
        <v>46027</v>
      </c>
      <c r="K18" s="27">
        <f t="shared" si="4"/>
        <v>46028</v>
      </c>
      <c r="L18" s="27">
        <f t="shared" si="4"/>
        <v>46029</v>
      </c>
      <c r="M18" s="27">
        <f t="shared" si="4"/>
        <v>46030</v>
      </c>
      <c r="N18" s="27">
        <f t="shared" si="4"/>
        <v>46031</v>
      </c>
      <c r="O18" s="27">
        <f t="shared" si="4"/>
        <v>46032</v>
      </c>
      <c r="P18" s="27">
        <f t="shared" si="4"/>
        <v>46033</v>
      </c>
      <c r="Q18" s="27">
        <f t="shared" si="4"/>
        <v>46034</v>
      </c>
      <c r="R18" s="27">
        <f t="shared" si="4"/>
        <v>46035</v>
      </c>
      <c r="S18" s="27">
        <f t="shared" si="4"/>
        <v>46036</v>
      </c>
      <c r="T18" s="27">
        <f t="shared" si="4"/>
        <v>46037</v>
      </c>
      <c r="U18" s="27">
        <f t="shared" si="4"/>
        <v>46038</v>
      </c>
      <c r="V18" s="27">
        <f t="shared" si="4"/>
        <v>46039</v>
      </c>
      <c r="W18" s="27">
        <f t="shared" si="4"/>
        <v>46040</v>
      </c>
      <c r="X18" s="27">
        <f t="shared" si="4"/>
        <v>46041</v>
      </c>
      <c r="Y18" s="27">
        <f t="shared" si="4"/>
        <v>46042</v>
      </c>
      <c r="Z18" s="27">
        <f t="shared" si="4"/>
        <v>46043</v>
      </c>
      <c r="AA18" s="27">
        <f t="shared" si="4"/>
        <v>46044</v>
      </c>
      <c r="AB18" s="27">
        <f t="shared" si="4"/>
        <v>46045</v>
      </c>
      <c r="AC18" s="27">
        <f t="shared" si="4"/>
        <v>46046</v>
      </c>
      <c r="AD18" s="27">
        <f t="shared" si="4"/>
        <v>46047</v>
      </c>
      <c r="AE18" s="27">
        <f t="shared" si="4"/>
        <v>46048</v>
      </c>
      <c r="AF18" s="27">
        <f t="shared" si="4"/>
        <v>46049</v>
      </c>
      <c r="AG18" s="27">
        <f t="shared" si="4"/>
        <v>46050</v>
      </c>
      <c r="AH18" s="27">
        <f t="shared" si="4"/>
        <v>46051</v>
      </c>
      <c r="AI18" s="198">
        <f t="shared" si="4"/>
        <v>46052</v>
      </c>
      <c r="AJ18" s="198">
        <f t="shared" si="4"/>
        <v>46053</v>
      </c>
      <c r="AK18" s="399"/>
      <c r="AL18" s="115">
        <f>_xlfn.DAYS(EOMONTH($F$18,0),$F$18)+1</f>
        <v>31</v>
      </c>
      <c r="AM18" s="287">
        <f>AL19*A_fldSollTagStd</f>
        <v>176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jeu.</v>
      </c>
      <c r="G19" s="92" t="str">
        <f>IF(G14=1,TEXT(G$18,H_Label!$B$24&amp;"TTT"),0)</f>
        <v>ven.</v>
      </c>
      <c r="H19" s="92" t="str">
        <f>IF(H14=1,TEXT(H$18,H_Label!$B$24&amp;"TTT"),0)</f>
        <v>sam.</v>
      </c>
      <c r="I19" s="92" t="str">
        <f>IF(I14=1,TEXT(I$18,H_Label!$B$24&amp;"TTT"),0)</f>
        <v>dim.</v>
      </c>
      <c r="J19" s="92" t="str">
        <f>IF(J14=1,TEXT(J$18,H_Label!$B$24&amp;"TTT"),0)</f>
        <v>lun.</v>
      </c>
      <c r="K19" s="92" t="str">
        <f>IF(K14=1,TEXT(K$18,H_Label!$B$24&amp;"TTT"),0)</f>
        <v>mar.</v>
      </c>
      <c r="L19" s="92" t="str">
        <f>IF(L14=1,TEXT(L$18,H_Label!$B$24&amp;"TTT"),0)</f>
        <v>mer.</v>
      </c>
      <c r="M19" s="92" t="str">
        <f>IF(M14=1,TEXT(M$18,H_Label!$B$24&amp;"TTT"),0)</f>
        <v>jeu.</v>
      </c>
      <c r="N19" s="92" t="str">
        <f>IF(N14=1,TEXT(N$18,H_Label!$B$24&amp;"TTT"),0)</f>
        <v>ven.</v>
      </c>
      <c r="O19" s="92" t="str">
        <f>IF(O14=1,TEXT(O$18,H_Label!$B$24&amp;"TTT"),0)</f>
        <v>sam.</v>
      </c>
      <c r="P19" s="92" t="str">
        <f>IF(P14=1,TEXT(P$18,H_Label!$B$24&amp;"TTT"),0)</f>
        <v>dim.</v>
      </c>
      <c r="Q19" s="92" t="str">
        <f>IF(Q14=1,TEXT(Q$18,H_Label!$B$24&amp;"TTT"),0)</f>
        <v>lun.</v>
      </c>
      <c r="R19" s="92" t="str">
        <f>IF(R14=1,TEXT(R$18,H_Label!$B$24&amp;"TTT"),0)</f>
        <v>mar.</v>
      </c>
      <c r="S19" s="92" t="str">
        <f>IF(S14=1,TEXT(S$18,H_Label!$B$24&amp;"TTT"),0)</f>
        <v>mer.</v>
      </c>
      <c r="T19" s="92" t="str">
        <f>IF(T14=1,TEXT(T$18,H_Label!$B$24&amp;"TTT"),0)</f>
        <v>jeu.</v>
      </c>
      <c r="U19" s="92" t="str">
        <f>IF(U14=1,TEXT(U$18,H_Label!$B$24&amp;"TTT"),0)</f>
        <v>ven.</v>
      </c>
      <c r="V19" s="92" t="str">
        <f>IF(V14=1,TEXT(V$18,H_Label!$B$24&amp;"TTT"),0)</f>
        <v>sam.</v>
      </c>
      <c r="W19" s="92" t="str">
        <f>IF(W14=1,TEXT(W$18,H_Label!$B$24&amp;"TTT"),0)</f>
        <v>dim.</v>
      </c>
      <c r="X19" s="92" t="str">
        <f>IF(X14=1,TEXT(X$18,H_Label!$B$24&amp;"TTT"),0)</f>
        <v>lun.</v>
      </c>
      <c r="Y19" s="92" t="str">
        <f>IF(Y14=1,TEXT(Y$18,H_Label!$B$24&amp;"TTT"),0)</f>
        <v>mar.</v>
      </c>
      <c r="Z19" s="92" t="str">
        <f>IF(Z14=1,TEXT(Z$18,H_Label!$B$24&amp;"TTT"),0)</f>
        <v>mer.</v>
      </c>
      <c r="AA19" s="92" t="str">
        <f>IF(AA14=1,TEXT(AA$18,H_Label!$B$24&amp;"TTT"),0)</f>
        <v>jeu.</v>
      </c>
      <c r="AB19" s="92" t="str">
        <f>IF(AB14=1,TEXT(AB$18,H_Label!$B$24&amp;"TTT"),0)</f>
        <v>ven.</v>
      </c>
      <c r="AC19" s="92" t="str">
        <f>IF(AC14=1,TEXT(AC$18,H_Label!$B$24&amp;"TTT"),0)</f>
        <v>sam.</v>
      </c>
      <c r="AD19" s="92" t="str">
        <f>IF(AD14=1,TEXT(AD$18,H_Label!$B$24&amp;"TTT"),0)</f>
        <v>dim.</v>
      </c>
      <c r="AE19" s="92" t="str">
        <f>IF(AE14=1,TEXT(AE$18,H_Label!$B$24&amp;"TTT"),0)</f>
        <v>lun.</v>
      </c>
      <c r="AF19" s="92" t="str">
        <f>IF(AF14=1,TEXT(AF$18,H_Label!$B$24&amp;"TTT"),0)</f>
        <v>mar.</v>
      </c>
      <c r="AG19" s="92" t="str">
        <f>IF(AG14=1,TEXT(AG$18,H_Label!$B$24&amp;"TTT"),0)</f>
        <v>mer.</v>
      </c>
      <c r="AH19" s="92" t="str">
        <f>IF(AH14=1,TEXT(AH$18,H_Label!$B$24&amp;"TTT"),0)</f>
        <v>jeu.</v>
      </c>
      <c r="AI19" s="92" t="str">
        <f>IF(AI14=1,TEXT(AI$18,H_Label!$B$24&amp;"TTT"),0)</f>
        <v>ven.</v>
      </c>
      <c r="AJ19" s="92" t="str">
        <f>IF(AJ14=1,TEXT(AJ$18,H_Label!$B$24&amp;"TTT"),0)</f>
        <v>sam.</v>
      </c>
      <c r="AK19" s="400"/>
      <c r="AL19" s="117">
        <f>NETWORKDAYS($F$18,EOMONTH($F$18,0))</f>
        <v>22</v>
      </c>
      <c r="AM19" s="288">
        <f>SUM(F20:AJ20)</f>
        <v>176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heures théorique</v>
      </c>
      <c r="E20" s="19"/>
      <c r="F20" s="26" cm="1">
        <f t="array" ref="F20">IF(OR(F14=0,F54="x"),0,A_fldSollTagStd*SUMPRODUCT((H_tblBGTage=WEEKDAY(F16,2))*(H_tblBGMnt=M_Monat)*H_tblBG%))</f>
        <v>8</v>
      </c>
      <c r="G20" s="26" cm="1">
        <f t="array" ref="G20">IF(OR(G14=0,G54="x"),0,A_fldSollTagStd*SUMPRODUCT((H_tblBGTage=WEEKDAY(G16,2))*(H_tblBGMnt=M_Monat)*H_tblBG%))</f>
        <v>8</v>
      </c>
      <c r="H20" s="26" cm="1">
        <f t="array" ref="H20">IF(OR(H14=0,H54="x"),0,A_fldSollTagStd*SUMPRODUCT((H_tblBGTage=WEEKDAY(H16,2))*(H_tblBGMnt=M_Monat)*H_tblBG%))</f>
        <v>0</v>
      </c>
      <c r="I20" s="26" cm="1">
        <f t="array" ref="I20">IF(OR(I14=0,I54="x"),0,A_fldSollTagStd*SUMPRODUCT((H_tblBGTage=WEEKDAY(I16,2))*(H_tblBGMnt=M_Monat)*H_tblBG%))</f>
        <v>0</v>
      </c>
      <c r="J20" s="26" cm="1">
        <f t="array" ref="J20">IF(OR(J14=0,J54="x"),0,A_fldSollTagStd*SUMPRODUCT((H_tblBGTage=WEEKDAY(J16,2))*(H_tblBGMnt=M_Monat)*H_tblBG%))</f>
        <v>8</v>
      </c>
      <c r="K20" s="26" cm="1">
        <f t="array" ref="K20">IF(OR(K14=0,K54="x"),0,A_fldSollTagStd*SUMPRODUCT((H_tblBGTage=WEEKDAY(K16,2))*(H_tblBGMnt=M_Monat)*H_tblBG%))</f>
        <v>8</v>
      </c>
      <c r="L20" s="26" cm="1">
        <f t="array" ref="L20">IF(OR(L14=0,L54="x"),0,A_fldSollTagStd*SUMPRODUCT((H_tblBGTage=WEEKDAY(L16,2))*(H_tblBGMnt=M_Monat)*H_tblBG%))</f>
        <v>8</v>
      </c>
      <c r="M20" s="26" cm="1">
        <f t="array" ref="M20">IF(OR(M14=0,M54="x"),0,A_fldSollTagStd*SUMPRODUCT((H_tblBGTage=WEEKDAY(M16,2))*(H_tblBGMnt=M_Monat)*H_tblBG%))</f>
        <v>8</v>
      </c>
      <c r="N20" s="26" cm="1">
        <f t="array" ref="N20">IF(OR(N14=0,N54="x"),0,A_fldSollTagStd*SUMPRODUCT((H_tblBGTage=WEEKDAY(N16,2))*(H_tblBGMnt=M_Monat)*H_tblBG%))</f>
        <v>8</v>
      </c>
      <c r="O20" s="26" cm="1">
        <f t="array" ref="O20">IF(OR(O14=0,O54="x"),0,A_fldSollTagStd*SUMPRODUCT((H_tblBGTage=WEEKDAY(O16,2))*(H_tblBGMnt=M_Monat)*H_tblBG%))</f>
        <v>0</v>
      </c>
      <c r="P20" s="26" cm="1">
        <f t="array" ref="P20">IF(OR(P14=0,P54="x"),0,A_fldSollTagStd*SUMPRODUCT((H_tblBGTage=WEEKDAY(P16,2))*(H_tblBGMnt=M_Monat)*H_tblBG%))</f>
        <v>0</v>
      </c>
      <c r="Q20" s="26" cm="1">
        <f t="array" ref="Q20">IF(OR(Q14=0,Q54="x"),0,A_fldSollTagStd*SUMPRODUCT((H_tblBGTage=WEEKDAY(Q16,2))*(H_tblBGMnt=M_Monat)*H_tblBG%))</f>
        <v>8</v>
      </c>
      <c r="R20" s="26" cm="1">
        <f t="array" ref="R20">IF(OR(R14=0,R54="x"),0,A_fldSollTagStd*SUMPRODUCT((H_tblBGTage=WEEKDAY(R16,2))*(H_tblBGMnt=M_Monat)*H_tblBG%))</f>
        <v>8</v>
      </c>
      <c r="S20" s="26" cm="1">
        <f t="array" ref="S20">IF(OR(S14=0,S54="x"),0,A_fldSollTagStd*SUMPRODUCT((H_tblBGTage=WEEKDAY(S16,2))*(H_tblBGMnt=M_Monat)*H_tblBG%))</f>
        <v>8</v>
      </c>
      <c r="T20" s="26" cm="1">
        <f t="array" ref="T20">IF(OR(T14=0,T54="x"),0,A_fldSollTagStd*SUMPRODUCT((H_tblBGTage=WEEKDAY(T16,2))*(H_tblBGMnt=M_Monat)*H_tblBG%))</f>
        <v>8</v>
      </c>
      <c r="U20" s="26" cm="1">
        <f t="array" ref="U20">IF(OR(U14=0,U54="x"),0,A_fldSollTagStd*SUMPRODUCT((H_tblBGTage=WEEKDAY(U16,2))*(H_tblBGMnt=M_Monat)*H_tblBG%))</f>
        <v>8</v>
      </c>
      <c r="V20" s="26" cm="1">
        <f t="array" ref="V20">IF(OR(V14=0,V54="x"),0,A_fldSollTagStd*SUMPRODUCT((H_tblBGTage=WEEKDAY(V16,2))*(H_tblBGMnt=M_Monat)*H_tblBG%))</f>
        <v>0</v>
      </c>
      <c r="W20" s="26" cm="1">
        <f t="array" ref="W20">IF(OR(W14=0,W54="x"),0,A_fldSollTagStd*SUMPRODUCT((H_tblBGTage=WEEKDAY(W16,2))*(H_tblBGMnt=M_Monat)*H_tblBG%))</f>
        <v>0</v>
      </c>
      <c r="X20" s="26" cm="1">
        <f t="array" ref="X20">IF(OR(X14=0,X54="x"),0,A_fldSollTagStd*SUMPRODUCT((H_tblBGTage=WEEKDAY(X16,2))*(H_tblBGMnt=M_Monat)*H_tblBG%))</f>
        <v>8</v>
      </c>
      <c r="Y20" s="26" cm="1">
        <f t="array" ref="Y20">IF(OR(Y14=0,Y54="x"),0,A_fldSollTagStd*SUMPRODUCT((H_tblBGTage=WEEKDAY(Y16,2))*(H_tblBGMnt=M_Monat)*H_tblBG%))</f>
        <v>8</v>
      </c>
      <c r="Z20" s="26" cm="1">
        <f t="array" ref="Z20">IF(OR(Z14=0,Z54="x"),0,A_fldSollTagStd*SUMPRODUCT((H_tblBGTage=WEEKDAY(Z16,2))*(H_tblBGMnt=M_Monat)*H_tblBG%))</f>
        <v>8</v>
      </c>
      <c r="AA20" s="26" cm="1">
        <f t="array" ref="AA20">IF(OR(AA14=0,AA54="x"),0,A_fldSollTagStd*SUMPRODUCT((H_tblBGTage=WEEKDAY(AA16,2))*(H_tblBGMnt=M_Monat)*H_tblBG%))</f>
        <v>8</v>
      </c>
      <c r="AB20" s="26" cm="1">
        <f t="array" ref="AB20">IF(OR(AB14=0,AB54="x"),0,A_fldSollTagStd*SUMPRODUCT((H_tblBGTage=WEEKDAY(AB16,2))*(H_tblBGMnt=M_Monat)*H_tblBG%))</f>
        <v>8</v>
      </c>
      <c r="AC20" s="26" cm="1">
        <f t="array" ref="AC20">IF(OR(AC14=0,AC54="x"),0,A_fldSollTagStd*SUMPRODUCT((H_tblBGTage=WEEKDAY(AC16,2))*(H_tblBGMnt=M_Monat)*H_tblBG%))</f>
        <v>0</v>
      </c>
      <c r="AD20" s="26" cm="1">
        <f t="array" ref="AD20">IF(OR(AD14=0,AD54="x"),0,A_fldSollTagStd*SUMPRODUCT((H_tblBGTage=WEEKDAY(AD16,2))*(H_tblBGMnt=M_Monat)*H_tblBG%))</f>
        <v>0</v>
      </c>
      <c r="AE20" s="26" cm="1">
        <f t="array" ref="AE20">IF(OR(AE14=0,AE54="x"),0,A_fldSollTagStd*SUMPRODUCT((H_tblBGTage=WEEKDAY(AE16,2))*(H_tblBGMnt=M_Monat)*H_tblBG%))</f>
        <v>8</v>
      </c>
      <c r="AF20" s="26" cm="1">
        <f t="array" ref="AF20">IF(OR(AF14=0,AF54="x"),0,A_fldSollTagStd*SUMPRODUCT((H_tblBGTage=WEEKDAY(AF16,2))*(H_tblBGMnt=M_Monat)*H_tblBG%))</f>
        <v>8</v>
      </c>
      <c r="AG20" s="26" cm="1">
        <f t="array" ref="AG20">IF(OR(AG14=0,AG54="x"),0,A_fldSollTagStd*SUMPRODUCT((H_tblBGTage=WEEKDAY(AG16,2))*(H_tblBGMnt=M_Monat)*H_tblBG%))</f>
        <v>8</v>
      </c>
      <c r="AH20" s="26" cm="1">
        <f t="array" ref="AH20">IF(OR(AH14=0,AH54="x"),0,A_fldSollTagStd*SUMPRODUCT((H_tblBGTage=WEEKDAY(AH16,2))*(H_tblBGMnt=M_Monat)*H_tblBG%))</f>
        <v>8</v>
      </c>
      <c r="AI20" s="199" cm="1">
        <f t="array" ref="AI20">IF(OR(AI14=0,AI54="x"),0,A_fldSollTagStd*SUMPRODUCT((H_tblBGTage=WEEKDAY(AI16,2))*(H_tblBGMnt=M_Monat)*H_tblBG%))</f>
        <v>8</v>
      </c>
      <c r="AJ20" s="199" cm="1">
        <f t="array" ref="AJ20">IF(OR(AJ14=0,AJ54="x"),0,A_fldSollTagStd*SUMPRODUCT((H_tblBGTage=WEEKDAY(AJ16,2))*(H_tblBGMnt=M_Monat)*H_tblBG%))</f>
        <v>0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jours fériés</v>
      </c>
      <c r="E21" s="20"/>
      <c r="F21" s="195" t="str" cm="1">
        <f t="array" ref="F21">INDEX(H_Calendar!$K$10:$K$375,MATCH(1,INDEX((H_Calendar!$E$10:$E$375=M_Monat)*(H_Calendar!$H$10:$H$375=DAY(F$18)),0,1),0))</f>
        <v>ft</v>
      </c>
      <c r="G21" s="195" t="str" cm="1">
        <f t="array" ref="G21">INDEX(H_Calendar!$K$10:$K$375,MATCH(1,INDEX((H_Calendar!$E$10:$E$375=M_Monat)*(H_Calendar!$H$10:$H$375=DAY(G$18)),0,1),0))</f>
        <v>ft</v>
      </c>
      <c r="H21" s="195" t="str" cm="1">
        <f t="array" ref="H21">INDEX(H_Calendar!$K$10:$K$375,MATCH(1,INDEX((H_Calendar!$E$10:$E$375=M_Monat)*(H_Calendar!$H$10:$H$375=DAY(H$18)),0,1),0))</f>
        <v/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/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/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/>
      </c>
      <c r="AD21" s="195" t="str" cm="1">
        <f t="array" ref="AD21">INDEX(H_Calendar!$K$10:$K$375,MATCH(1,INDEX((H_Calendar!$E$10:$E$375=M_Monat)*(H_Calendar!$H$10:$H$375=DAY(AD$18)),0,1),0))</f>
        <v/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16</v>
      </c>
      <c r="AM21" s="320">
        <f>COUNTIF(F21:AJ21,"ft")</f>
        <v>2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heures productives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thickBot="1" x14ac:dyDescent="0.25">
      <c r="A25" s="252"/>
      <c r="B25" s="438"/>
      <c r="C25" s="252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hidden="1" customHeight="1" x14ac:dyDescent="0.2">
      <c r="A26" s="252"/>
      <c r="B26" s="438"/>
      <c r="C26" s="252">
        <v>4</v>
      </c>
      <c r="D26" s="606" t="str">
        <f>H_Label!B313</f>
        <v>temps de trajet (total)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hidden="1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déduction de temps de trajet = 0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total journalier y c. temp de trajet payé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total hebdomadaire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9" s="143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9" s="144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0</v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crédits et majorations</v>
      </c>
      <c r="E30" s="87"/>
      <c r="F30" s="145" t="str">
        <f>H_Label!B264</f>
        <v>1)  25% majoration temporelle pour depassement les heures maximales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majoration temporelle pour travail de nuit</v>
      </c>
      <c r="Q30" s="145"/>
      <c r="R30" s="145"/>
      <c r="S30" s="145"/>
      <c r="T30" s="145"/>
      <c r="U30" s="145"/>
      <c r="V30" s="145"/>
      <c r="W30" s="145" t="str">
        <f>H_Label!B266</f>
        <v>3) 100% majoration temporelle pour travail du dimanche et jour férié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Majoration  "jf"</v>
      </c>
      <c r="E31" s="23"/>
      <c r="F31" s="24">
        <f t="shared" ref="F31:AG31" si="8">IF(F21="ft",F20,0)</f>
        <v>8</v>
      </c>
      <c r="G31" s="24">
        <f t="shared" si="8"/>
        <v>8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0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0</v>
      </c>
      <c r="AD31" s="24">
        <f t="shared" si="8"/>
        <v>0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16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Majorations temp.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/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/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Majorations temp.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Majorations temp.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>
        <f>H_Label!B273</f>
        <v>0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vacances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compensation année passée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50" si="11">SUM(F37:AJ37)</f>
        <v>0</v>
      </c>
      <c r="AM37" s="292">
        <f t="shared" ref="AM37:AM50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compensation année en cours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absences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maladie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accident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absences de grossesse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Congé de maternité/paternité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militaire/promotion/protection civile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si="11"/>
        <v>0</v>
      </c>
      <c r="AM44" s="292">
        <f t="shared" si="12"/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école professionelle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1"/>
        <v>0</v>
      </c>
      <c r="AM45" s="292">
        <f t="shared" si="12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cours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1"/>
        <v>0</v>
      </c>
      <c r="AM46" s="292">
        <f t="shared" si="12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chômage partiel et intempéries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1"/>
        <v>0</v>
      </c>
      <c r="AM47" s="292">
        <f t="shared" si="12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arrêts définis par l'entreprise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1"/>
        <v>0</v>
      </c>
      <c r="AM48" s="292">
        <f t="shared" si="12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vacances non payées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1"/>
        <v>0</v>
      </c>
      <c r="AM49" s="292">
        <f t="shared" si="12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heures manquantes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1"/>
        <v>0</v>
      </c>
      <c r="AM50" s="292">
        <f t="shared" si="12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heures inproductives totales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3">ROUND(SUM(H39:H48),4)</f>
        <v>0</v>
      </c>
      <c r="I51" s="433">
        <f t="shared" si="13"/>
        <v>0</v>
      </c>
      <c r="J51" s="433">
        <f t="shared" si="13"/>
        <v>0</v>
      </c>
      <c r="K51" s="433">
        <f t="shared" si="13"/>
        <v>0</v>
      </c>
      <c r="L51" s="433">
        <f t="shared" si="13"/>
        <v>0</v>
      </c>
      <c r="M51" s="433">
        <f t="shared" si="13"/>
        <v>0</v>
      </c>
      <c r="N51" s="433">
        <f t="shared" si="13"/>
        <v>0</v>
      </c>
      <c r="O51" s="433">
        <f t="shared" si="13"/>
        <v>0</v>
      </c>
      <c r="P51" s="433">
        <f t="shared" si="13"/>
        <v>0</v>
      </c>
      <c r="Q51" s="433">
        <f t="shared" si="13"/>
        <v>0</v>
      </c>
      <c r="R51" s="433">
        <f t="shared" si="13"/>
        <v>0</v>
      </c>
      <c r="S51" s="433">
        <f t="shared" si="13"/>
        <v>0</v>
      </c>
      <c r="T51" s="433">
        <f t="shared" si="13"/>
        <v>0</v>
      </c>
      <c r="U51" s="433">
        <f t="shared" si="13"/>
        <v>0</v>
      </c>
      <c r="V51" s="433">
        <f t="shared" si="13"/>
        <v>0</v>
      </c>
      <c r="W51" s="433">
        <f t="shared" si="13"/>
        <v>0</v>
      </c>
      <c r="X51" s="433">
        <f t="shared" si="13"/>
        <v>0</v>
      </c>
      <c r="Y51" s="433">
        <f t="shared" si="13"/>
        <v>0</v>
      </c>
      <c r="Z51" s="433">
        <f t="shared" si="13"/>
        <v>0</v>
      </c>
      <c r="AA51" s="433">
        <f t="shared" si="13"/>
        <v>0</v>
      </c>
      <c r="AB51" s="433">
        <f t="shared" si="13"/>
        <v>0</v>
      </c>
      <c r="AC51" s="433">
        <f t="shared" si="13"/>
        <v>0</v>
      </c>
      <c r="AD51" s="433">
        <f t="shared" si="13"/>
        <v>0</v>
      </c>
      <c r="AE51" s="433">
        <f t="shared" si="13"/>
        <v>0</v>
      </c>
      <c r="AF51" s="433">
        <f t="shared" si="13"/>
        <v>0</v>
      </c>
      <c r="AG51" s="433">
        <f t="shared" si="13"/>
        <v>0</v>
      </c>
      <c r="AH51" s="433">
        <f t="shared" si="13"/>
        <v>0</v>
      </c>
      <c r="AI51" s="433">
        <f t="shared" si="13"/>
        <v>0</v>
      </c>
      <c r="AJ51" s="434">
        <f t="shared" si="13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contrôle et corrections</v>
      </c>
      <c r="E52" s="87"/>
      <c r="F52" s="146"/>
      <c r="G52" s="147" t="str">
        <f>H_Label!B292</f>
        <v>veuillez cocher les jours de correction avec "x"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jour de carence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exclure jour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22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corrections manuelles</v>
      </c>
      <c r="E56" s="149"/>
      <c r="F56" s="150" t="str">
        <f>H_Label!B298</f>
        <v>heures payées se année passée</v>
      </c>
      <c r="G56" s="150"/>
      <c r="H56" s="150"/>
      <c r="I56" s="150"/>
      <c r="J56" s="150"/>
      <c r="K56" s="835"/>
      <c r="L56" s="836"/>
      <c r="M56" s="837"/>
      <c r="N56" s="148"/>
      <c r="O56" s="148"/>
      <c r="P56" s="150" t="str">
        <f>H_Label!B299</f>
        <v>heures payées année en cours (heures supplémentaires)</v>
      </c>
      <c r="Q56" s="148"/>
      <c r="R56" s="148"/>
      <c r="S56" s="148"/>
      <c r="T56" s="148"/>
      <c r="U56" s="148"/>
      <c r="V56" s="148"/>
      <c r="W56" s="835"/>
      <c r="X56" s="836"/>
      <c r="Y56" s="837"/>
      <c r="Z56" s="148"/>
      <c r="AA56" s="150"/>
      <c r="AB56" s="148"/>
      <c r="AC56" s="148"/>
      <c r="AD56" s="150" t="str">
        <f>H_Label!B300</f>
        <v>vacances avoir / déduction</v>
      </c>
      <c r="AE56" s="150"/>
      <c r="AF56" s="150"/>
      <c r="AG56" s="150"/>
      <c r="AH56" s="835"/>
      <c r="AI56" s="836"/>
      <c r="AJ56" s="837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remarques</v>
      </c>
      <c r="E58" s="152"/>
      <c r="F58" s="814"/>
      <c r="G58" s="815"/>
      <c r="H58" s="815"/>
      <c r="I58" s="815"/>
      <c r="J58" s="815"/>
      <c r="K58" s="815"/>
      <c r="L58" s="815"/>
      <c r="M58" s="815"/>
      <c r="N58" s="815"/>
      <c r="O58" s="815"/>
      <c r="P58" s="815"/>
      <c r="Q58" s="815"/>
      <c r="R58" s="815"/>
      <c r="S58" s="815"/>
      <c r="T58" s="815"/>
      <c r="U58" s="815"/>
      <c r="V58" s="815"/>
      <c r="W58" s="815"/>
      <c r="X58" s="815"/>
      <c r="Y58" s="815"/>
      <c r="Z58" s="815"/>
      <c r="AA58" s="815"/>
      <c r="AB58" s="815"/>
      <c r="AC58" s="815"/>
      <c r="AD58" s="815"/>
      <c r="AE58" s="815"/>
      <c r="AF58" s="815"/>
      <c r="AG58" s="815"/>
      <c r="AH58" s="815"/>
      <c r="AI58" s="815"/>
      <c r="AJ58" s="816"/>
      <c r="AK58" s="396"/>
    </row>
    <row r="59" spans="1:46" ht="12" customHeight="1" x14ac:dyDescent="0.25">
      <c r="D59" s="153"/>
      <c r="E59" s="153"/>
      <c r="F59" s="817"/>
      <c r="G59" s="818"/>
      <c r="H59" s="818"/>
      <c r="I59" s="818"/>
      <c r="J59" s="818"/>
      <c r="K59" s="818"/>
      <c r="L59" s="818"/>
      <c r="M59" s="818"/>
      <c r="N59" s="818"/>
      <c r="O59" s="818"/>
      <c r="P59" s="818"/>
      <c r="Q59" s="818"/>
      <c r="R59" s="818"/>
      <c r="S59" s="818"/>
      <c r="T59" s="818"/>
      <c r="U59" s="818"/>
      <c r="V59" s="818"/>
      <c r="W59" s="818"/>
      <c r="X59" s="818"/>
      <c r="Y59" s="818"/>
      <c r="Z59" s="818"/>
      <c r="AA59" s="818"/>
      <c r="AB59" s="818"/>
      <c r="AC59" s="818"/>
      <c r="AD59" s="818"/>
      <c r="AE59" s="818"/>
      <c r="AF59" s="818"/>
      <c r="AG59" s="818"/>
      <c r="AH59" s="818"/>
      <c r="AI59" s="818"/>
      <c r="AJ59" s="819"/>
      <c r="AK59" s="396"/>
    </row>
    <row r="60" spans="1:46" ht="12" customHeight="1" x14ac:dyDescent="0.25">
      <c r="D60" s="154"/>
      <c r="E60" s="154"/>
      <c r="F60" s="832"/>
      <c r="G60" s="833"/>
      <c r="H60" s="833"/>
      <c r="I60" s="833"/>
      <c r="J60" s="833"/>
      <c r="K60" s="833"/>
      <c r="L60" s="833"/>
      <c r="M60" s="833"/>
      <c r="N60" s="833"/>
      <c r="O60" s="833"/>
      <c r="P60" s="833"/>
      <c r="Q60" s="833"/>
      <c r="R60" s="833"/>
      <c r="S60" s="833"/>
      <c r="T60" s="833"/>
      <c r="U60" s="833"/>
      <c r="V60" s="833"/>
      <c r="W60" s="833"/>
      <c r="X60" s="833"/>
      <c r="Y60" s="833"/>
      <c r="Z60" s="833"/>
      <c r="AA60" s="833"/>
      <c r="AB60" s="833"/>
      <c r="AC60" s="833"/>
      <c r="AD60" s="833"/>
      <c r="AE60" s="833"/>
      <c r="AF60" s="833"/>
      <c r="AG60" s="833"/>
      <c r="AH60" s="833"/>
      <c r="AI60" s="833"/>
      <c r="AJ60" s="834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J'ai contrôlé les comptes mensuels et vérifié leur exactitude.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09"/>
      <c r="G63" s="809"/>
      <c r="H63" s="809"/>
      <c r="I63" s="809"/>
      <c r="J63" s="809"/>
      <c r="K63" s="809"/>
      <c r="L63" s="809"/>
      <c r="M63" s="809"/>
      <c r="V63" s="809"/>
      <c r="W63" s="809"/>
      <c r="X63" s="809"/>
      <c r="Y63" s="809"/>
      <c r="Z63" s="809"/>
      <c r="AA63" s="809"/>
      <c r="AB63" s="809"/>
      <c r="AC63" s="809"/>
      <c r="AH63" s="809"/>
      <c r="AI63" s="809"/>
      <c r="AJ63" s="809"/>
    </row>
    <row r="64" spans="1:46" ht="15.75" x14ac:dyDescent="0.25">
      <c r="D64" s="156" t="str">
        <f>H_Label!B306</f>
        <v>visa employé</v>
      </c>
      <c r="E64" s="156"/>
      <c r="F64" s="810"/>
      <c r="G64" s="810"/>
      <c r="H64" s="810"/>
      <c r="I64" s="810"/>
      <c r="J64" s="810"/>
      <c r="K64" s="810"/>
      <c r="L64" s="810"/>
      <c r="M64" s="810"/>
      <c r="N64" s="156"/>
      <c r="O64" s="148"/>
      <c r="P64" s="156" t="str">
        <f>H_Label!B307</f>
        <v>visa supérieur hiérarchique</v>
      </c>
      <c r="Q64" s="148"/>
      <c r="R64" s="15"/>
      <c r="S64" s="156"/>
      <c r="T64" s="156"/>
      <c r="U64" s="156"/>
      <c r="V64" s="810"/>
      <c r="W64" s="810"/>
      <c r="X64" s="810"/>
      <c r="Y64" s="810"/>
      <c r="Z64" s="810"/>
      <c r="AA64" s="810"/>
      <c r="AB64" s="810"/>
      <c r="AC64" s="810"/>
      <c r="AD64" s="148"/>
      <c r="AE64" s="15"/>
      <c r="AF64" s="156" t="str">
        <f>H_Label!B308</f>
        <v>date</v>
      </c>
      <c r="AG64" s="15"/>
      <c r="AH64" s="810"/>
      <c r="AI64" s="810"/>
      <c r="AJ64" s="810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GcEerRacf1tMxZqIrhPCtU5uvLbmckcwlXRW9e4eXOT4H5cjw/H+iOhszduTS3e7K8t/0WP7B2myQDAVEZO7dw==" saltValue="g2clo+sIb3gt57hKH9qb6Q==" spinCount="100000" sheet="1" objects="1" scenarios="1"/>
  <mergeCells count="23">
    <mergeCell ref="W56:Y56"/>
    <mergeCell ref="AH56:AJ56"/>
    <mergeCell ref="F10:G10"/>
    <mergeCell ref="H10:K10"/>
    <mergeCell ref="F12:I12"/>
    <mergeCell ref="J12:K12"/>
    <mergeCell ref="K56:M56"/>
    <mergeCell ref="F63:M64"/>
    <mergeCell ref="V63:AC64"/>
    <mergeCell ref="AH63:AJ64"/>
    <mergeCell ref="B12:B15"/>
    <mergeCell ref="AB3:AD3"/>
    <mergeCell ref="D2:D4"/>
    <mergeCell ref="F58:AJ58"/>
    <mergeCell ref="F59:AJ59"/>
    <mergeCell ref="F8:K8"/>
    <mergeCell ref="F9:G9"/>
    <mergeCell ref="H9:K9"/>
    <mergeCell ref="Y6:AJ6"/>
    <mergeCell ref="AI5:AJ5"/>
    <mergeCell ref="J3:L3"/>
    <mergeCell ref="T3:V3"/>
    <mergeCell ref="F60:AJ60"/>
  </mergeCells>
  <conditionalFormatting sqref="D37:AJ37">
    <cfRule type="expression" dxfId="224" priority="22">
      <formula>AND(M_Monat&gt;4,M_Monat&lt;10)</formula>
    </cfRule>
    <cfRule type="expression" dxfId="223" priority="23">
      <formula>M_Monat&gt;=10</formula>
    </cfRule>
  </conditionalFormatting>
  <conditionalFormatting sqref="E15:AK15">
    <cfRule type="expression" dxfId="222" priority="11">
      <formula>E$15=2</formula>
    </cfRule>
  </conditionalFormatting>
  <conditionalFormatting sqref="F17:AJ17">
    <cfRule type="expression" dxfId="221" priority="16">
      <formula>OR(AND(DAY(F$16)&lt;&gt;1,WEEKDAY(F$16,2)&lt;&gt;1),F$14=0)</formula>
    </cfRule>
    <cfRule type="expression" dxfId="220" priority="17">
      <formula>OR(F$15=2,AND(F$14=1,WEEKDAY(F$16,2)=7))</formula>
    </cfRule>
  </conditionalFormatting>
  <conditionalFormatting sqref="F18:AJ21 F23:AJ28 F31:AJ31 F33:AJ34 F36:AJ51 F53:AJ54">
    <cfRule type="expression" dxfId="219" priority="25">
      <formula>F$21="ft"</formula>
    </cfRule>
  </conditionalFormatting>
  <conditionalFormatting sqref="F18:AJ21 F23:AJ29 F31:AJ34 F36:AJ51 F53:AJ54">
    <cfRule type="expression" dxfId="218" priority="9">
      <formula>AND(F$14=0,$B18=0)</formula>
    </cfRule>
  </conditionalFormatting>
  <conditionalFormatting sqref="F28:AJ29 F32:AJ32">
    <cfRule type="expression" dxfId="217" priority="12">
      <formula>OR(WEEKDAY(F$16,2)=7,F$15=2)</formula>
    </cfRule>
  </conditionalFormatting>
  <conditionalFormatting sqref="F36:AJ51 F53:AJ54 F18:AJ21 F23:AJ28 F31:AJ31 F33:AJ34">
    <cfRule type="expression" dxfId="216" priority="24">
      <formula>WEEKDAY(F$18,2)=7</formula>
    </cfRule>
    <cfRule type="expression" dxfId="215" priority="26">
      <formula>WEEKDAY(F$18,2)=6</formula>
    </cfRule>
  </conditionalFormatting>
  <conditionalFormatting sqref="F53:AJ54">
    <cfRule type="containsText" dxfId="214" priority="14" operator="containsText" text="x">
      <formula>NOT(ISERROR(SEARCH("x",F53)))</formula>
    </cfRule>
  </conditionalFormatting>
  <conditionalFormatting sqref="J3:L3">
    <cfRule type="expression" dxfId="213" priority="1">
      <formula>B_fldSaldoVJ=0</formula>
    </cfRule>
  </conditionalFormatting>
  <conditionalFormatting sqref="AB3:AD3">
    <cfRule type="expression" dxfId="210" priority="2">
      <formula>H_fldFerienEndSaldo&lt;0</formula>
    </cfRule>
  </conditionalFormatting>
  <conditionalFormatting sqref="AG18:AJ21 AG23:AJ29 AG31:AJ34 AG36:AJ51 AG53:AJ54">
    <cfRule type="expression" dxfId="209" priority="6">
      <formula>AND(AG$14=0,$B18&lt;&gt;0)</formula>
    </cfRule>
    <cfRule type="expression" dxfId="208" priority="8">
      <formula>AG$15=2</formula>
    </cfRule>
  </conditionalFormatting>
  <conditionalFormatting sqref="AJ17:AJ21 AJ23:AJ29 AJ31:AJ34 AJ36:AJ51 AJ53:AJ54">
    <cfRule type="expression" dxfId="207" priority="5">
      <formula>AK$15="m"</formula>
    </cfRule>
  </conditionalFormatting>
  <dataValidations count="11">
    <dataValidation type="decimal" operator="greaterThanOrEqual" allowBlank="1" showInputMessage="1" showErrorMessage="1" errorTitle="Ungültige Eingabe" error="Bitte geben Sie einen Zahlwert ein._x000a_Dezimalwerte sind mit einem . abzutrennen." sqref="F39:AK50" xr:uid="{6411C48B-B9D8-4271-BE62-3636D6930CCC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473E2584-90C7-4F3D-822B-68F8CAFDE586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0355C606-9C84-42A6-99B3-C4E02DFC20F4}">
      <formula1>-4000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986C5ACD-AE2E-4A3A-B140-213F8F37C885}">
      <formula1>0</formula1>
    </dataValidation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325570C8-D638-420D-B078-4E70054D0074}">
      <formula1>M_Monat&lt;10</formula1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27D6868D-E45E-418F-B9FA-C8245A1F40B2}"/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FC506E18-7894-43F1-83C0-D25A40596F4B}">
      <formula1>-4000</formula1>
      <formula2>6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2242BAE7-7FB7-4FC2-86CA-4D689CE42DC8}">
      <formula1>-4000</formula1>
      <formula2>14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9BCC0398-75B9-41C9-9127-D45529BB8CF2}">
      <formula1>-4000</formula1>
      <formula2>4</formula2>
    </dataValidation>
    <dataValidation type="custom" operator="greaterThanOrEqual" showErrorMessage="1" errorTitle="Karenztag" error="Zuerst Stunden im Feld &quot;Krankheit&quot; erfassen!" sqref="F53:AJ53" xr:uid="{6BBBA705-A712-4E5E-8EA9-B519FAE57CAC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95FF65BB-850C-44E8-9431-6EF2EB1C6B6B}">
      <formula1>-4000</formula1>
      <formula2>24</formula2>
    </dataValidation>
  </dataValidations>
  <hyperlinks>
    <hyperlink ref="AJ12" location="Jahresauswertung!H3" display="." xr:uid="{99967A40-1195-418E-BACF-2658B5C249AB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ignoredErrors>
    <ignoredError sqref="F17" formula="1"/>
  </ignoredErrors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68E10F3-EBA3-4C3F-AA7D-1B163DCBFE48}">
            <xm:f>'report annuel'!$X$34=0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02851D65-E0C2-497E-9FEE-812D0A366E67}">
            <xm:f>'report annuel'!$X$34&lt;0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B5B5E-1B66-4220-AD5D-8FE0284E2966}">
  <sheetPr codeName="ts02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:S27"/>
      <selection pane="bottomLeft" activeCell="R27" sqref="R27:S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13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13"/>
      <c r="F3" s="550" t="str">
        <f>H_Label!B32</f>
        <v>heures année passée</v>
      </c>
      <c r="G3" s="551"/>
      <c r="H3" s="551"/>
      <c r="I3" s="551"/>
      <c r="J3" s="812" t="str">
        <f>TEXT('report annuel'!$X$34,"0.00")&amp;" / "&amp;TEXT(B_fldSaldoVJ,"0.00")</f>
        <v>0.00 / 0.00</v>
      </c>
      <c r="K3" s="812"/>
      <c r="L3" s="812"/>
      <c r="M3" s="552"/>
      <c r="N3" s="552"/>
      <c r="O3" s="550" t="str">
        <f>H_Label!B33</f>
        <v>heures année en cours</v>
      </c>
      <c r="P3" s="551"/>
      <c r="Q3" s="551"/>
      <c r="R3" s="551"/>
      <c r="S3" s="551"/>
      <c r="T3" s="831">
        <f>'report annuel'!$AD$43</f>
        <v>-2016</v>
      </c>
      <c r="U3" s="831"/>
      <c r="V3" s="831"/>
      <c r="W3" s="552"/>
      <c r="X3" s="552"/>
      <c r="Y3" s="550" t="str">
        <f>H_Label!B34</f>
        <v>se des vacences</v>
      </c>
      <c r="Z3" s="551"/>
      <c r="AA3" s="551"/>
      <c r="AB3" s="812" t="str">
        <f ca="1">TEXT(H_fldFerienEndSaldo,"0.00")&amp;" / "&amp;TEXT(H_fldFerienSaldoKORR,"0.00")</f>
        <v>176.00 / 176.00</v>
      </c>
      <c r="AC3" s="812"/>
      <c r="AD3" s="812"/>
      <c r="AF3" s="148"/>
      <c r="AG3" s="148"/>
      <c r="AH3" s="148"/>
      <c r="AI3" s="148"/>
      <c r="AJ3" s="148"/>
    </row>
    <row r="4" spans="1:46" ht="13.5" customHeight="1" x14ac:dyDescent="0.25">
      <c r="D4" s="813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taux d'occupation réel</v>
      </c>
      <c r="AH5" s="527"/>
      <c r="AI5" s="830">
        <f>AN54</f>
        <v>1</v>
      </c>
      <c r="AJ5" s="830"/>
      <c r="AK5" s="388"/>
    </row>
    <row r="6" spans="1:46" ht="27.95" customHeight="1" x14ac:dyDescent="0.25">
      <c r="D6" s="174" t="str">
        <f>H_Label!$B$221 &amp;" "&amp;TEXT('fiche du personnel'!$U$1,"JJJJ")</f>
        <v>Contrôle des heures de travail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28" t="str">
        <f>'fiche du personnel'!$G$3</f>
        <v>Peinture Exemple SA</v>
      </c>
      <c r="Z6" s="828"/>
      <c r="AA6" s="828"/>
      <c r="AB6" s="828"/>
      <c r="AC6" s="828"/>
      <c r="AD6" s="828"/>
      <c r="AE6" s="828"/>
      <c r="AF6" s="828"/>
      <c r="AG6" s="828"/>
      <c r="AH6" s="828"/>
      <c r="AI6" s="828"/>
      <c r="AJ6" s="829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employé</v>
      </c>
      <c r="E8" s="31"/>
      <c r="F8" s="820" t="str">
        <f>'fiche du personnel'!$G$6</f>
        <v>Martin Dupont</v>
      </c>
      <c r="G8" s="821"/>
      <c r="H8" s="821"/>
      <c r="I8" s="821"/>
      <c r="J8" s="821"/>
      <c r="K8" s="822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occupation (%)</v>
      </c>
      <c r="E9" s="374"/>
      <c r="F9" s="823" cm="1">
        <f t="array" ref="F9">SUMPRODUCT((H_tblBGMnt=M_Monat)*H_tblBGavg)</f>
        <v>100</v>
      </c>
      <c r="G9" s="824"/>
      <c r="H9" s="825" t="str">
        <f>H_Label!B224&amp;" "&amp;D12</f>
        <v>en février</v>
      </c>
      <c r="I9" s="826"/>
      <c r="J9" s="826"/>
      <c r="K9" s="827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se pour l'année</v>
      </c>
      <c r="E10" s="89"/>
      <c r="F10" s="838">
        <f>DATE(A_Jahr,AM13,1)</f>
        <v>46054</v>
      </c>
      <c r="G10" s="839"/>
      <c r="H10" s="840">
        <f>'report annuel'!AF42</f>
        <v>-2016</v>
      </c>
      <c r="I10" s="841"/>
      <c r="J10" s="841"/>
      <c r="K10" s="842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11" t="s">
        <v>501</v>
      </c>
      <c r="D12" s="494" t="str">
        <f>TEXT($F$10,"MMMM"&amp;H_Label!$B$23)</f>
        <v>février</v>
      </c>
      <c r="E12" s="375"/>
      <c r="F12" s="843" t="str">
        <f>H_Label!B231</f>
        <v>se mois + / -</v>
      </c>
      <c r="G12" s="844"/>
      <c r="H12" s="844"/>
      <c r="I12" s="845"/>
      <c r="J12" s="846" cm="1">
        <f t="array" ref="J12">INDEX(H_dMNTCurrentSaldo,1,M_Monat)</f>
        <v>-160</v>
      </c>
      <c r="K12" s="847"/>
      <c r="L12" s="157"/>
      <c r="M12" s="158"/>
      <c r="N12" s="202"/>
      <c r="O12" s="159" t="str">
        <f>H_Label!B240</f>
        <v xml:space="preserve"> = </v>
      </c>
      <c r="P12" s="151" t="str">
        <f>H_Label!B241</f>
        <v>seules les cases/champs jaunes sont saisissables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11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2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11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0</v>
      </c>
      <c r="AI14" s="410">
        <f t="shared" si="0"/>
        <v>0</v>
      </c>
      <c r="AJ14" s="411">
        <f t="shared" si="0"/>
        <v>0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11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2</v>
      </c>
      <c r="AH15" s="418">
        <f t="shared" si="1"/>
        <v>1</v>
      </c>
      <c r="AI15" s="418">
        <f t="shared" si="1"/>
        <v>0</v>
      </c>
      <c r="AJ15" s="419">
        <f t="shared" si="1"/>
        <v>0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46054</v>
      </c>
      <c r="G16" s="422">
        <f>F$16+1</f>
        <v>46055</v>
      </c>
      <c r="H16" s="422">
        <f t="shared" ref="H16:AJ16" si="2">G$16+1</f>
        <v>46056</v>
      </c>
      <c r="I16" s="422">
        <f t="shared" si="2"/>
        <v>46057</v>
      </c>
      <c r="J16" s="422">
        <f t="shared" si="2"/>
        <v>46058</v>
      </c>
      <c r="K16" s="422">
        <f t="shared" si="2"/>
        <v>46059</v>
      </c>
      <c r="L16" s="423">
        <f t="shared" si="2"/>
        <v>46060</v>
      </c>
      <c r="M16" s="423">
        <f t="shared" si="2"/>
        <v>46061</v>
      </c>
      <c r="N16" s="424">
        <f t="shared" si="2"/>
        <v>46062</v>
      </c>
      <c r="O16" s="425">
        <f t="shared" si="2"/>
        <v>46063</v>
      </c>
      <c r="P16" s="425">
        <f t="shared" si="2"/>
        <v>46064</v>
      </c>
      <c r="Q16" s="425">
        <f t="shared" si="2"/>
        <v>46065</v>
      </c>
      <c r="R16" s="425">
        <f t="shared" si="2"/>
        <v>46066</v>
      </c>
      <c r="S16" s="425">
        <f t="shared" si="2"/>
        <v>46067</v>
      </c>
      <c r="T16" s="425">
        <f t="shared" si="2"/>
        <v>46068</v>
      </c>
      <c r="U16" s="425">
        <f t="shared" si="2"/>
        <v>46069</v>
      </c>
      <c r="V16" s="425">
        <f t="shared" si="2"/>
        <v>46070</v>
      </c>
      <c r="W16" s="425">
        <f t="shared" si="2"/>
        <v>46071</v>
      </c>
      <c r="X16" s="425">
        <f t="shared" si="2"/>
        <v>46072</v>
      </c>
      <c r="Y16" s="425">
        <f t="shared" si="2"/>
        <v>46073</v>
      </c>
      <c r="Z16" s="425">
        <f t="shared" si="2"/>
        <v>46074</v>
      </c>
      <c r="AA16" s="425">
        <f t="shared" si="2"/>
        <v>46075</v>
      </c>
      <c r="AB16" s="425">
        <f t="shared" si="2"/>
        <v>46076</v>
      </c>
      <c r="AC16" s="425">
        <f t="shared" si="2"/>
        <v>46077</v>
      </c>
      <c r="AD16" s="425">
        <f t="shared" si="2"/>
        <v>46078</v>
      </c>
      <c r="AE16" s="425">
        <f t="shared" si="2"/>
        <v>46079</v>
      </c>
      <c r="AF16" s="426">
        <f t="shared" si="2"/>
        <v>46080</v>
      </c>
      <c r="AG16" s="426">
        <f t="shared" si="2"/>
        <v>46081</v>
      </c>
      <c r="AH16" s="426">
        <f t="shared" si="2"/>
        <v>46082</v>
      </c>
      <c r="AI16" s="426">
        <f t="shared" si="2"/>
        <v>46083</v>
      </c>
      <c r="AJ16" s="427">
        <f t="shared" si="2"/>
        <v>46084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semaine civile</v>
      </c>
      <c r="E17" s="291"/>
      <c r="F17" s="205">
        <f>WEEKNUM(F$16,21)</f>
        <v>5</v>
      </c>
      <c r="G17" s="203">
        <f t="shared" ref="G17:AJ17" si="3">WEEKNUM(G$16,21)</f>
        <v>6</v>
      </c>
      <c r="H17" s="203">
        <f t="shared" si="3"/>
        <v>6</v>
      </c>
      <c r="I17" s="203">
        <f t="shared" si="3"/>
        <v>6</v>
      </c>
      <c r="J17" s="203">
        <f t="shared" si="3"/>
        <v>6</v>
      </c>
      <c r="K17" s="203">
        <f t="shared" si="3"/>
        <v>6</v>
      </c>
      <c r="L17" s="203">
        <f t="shared" si="3"/>
        <v>6</v>
      </c>
      <c r="M17" s="203">
        <f t="shared" si="3"/>
        <v>6</v>
      </c>
      <c r="N17" s="203">
        <f t="shared" si="3"/>
        <v>7</v>
      </c>
      <c r="O17" s="203">
        <f t="shared" si="3"/>
        <v>7</v>
      </c>
      <c r="P17" s="203">
        <f t="shared" si="3"/>
        <v>7</v>
      </c>
      <c r="Q17" s="203">
        <f t="shared" si="3"/>
        <v>7</v>
      </c>
      <c r="R17" s="203">
        <f t="shared" si="3"/>
        <v>7</v>
      </c>
      <c r="S17" s="203">
        <f t="shared" si="3"/>
        <v>7</v>
      </c>
      <c r="T17" s="203">
        <f t="shared" si="3"/>
        <v>7</v>
      </c>
      <c r="U17" s="203">
        <f t="shared" si="3"/>
        <v>8</v>
      </c>
      <c r="V17" s="203">
        <f t="shared" si="3"/>
        <v>8</v>
      </c>
      <c r="W17" s="203">
        <f t="shared" si="3"/>
        <v>8</v>
      </c>
      <c r="X17" s="203">
        <f t="shared" si="3"/>
        <v>8</v>
      </c>
      <c r="Y17" s="203">
        <f t="shared" si="3"/>
        <v>8</v>
      </c>
      <c r="Z17" s="203">
        <f t="shared" si="3"/>
        <v>8</v>
      </c>
      <c r="AA17" s="203">
        <f t="shared" si="3"/>
        <v>8</v>
      </c>
      <c r="AB17" s="203">
        <f t="shared" si="3"/>
        <v>9</v>
      </c>
      <c r="AC17" s="203">
        <f t="shared" si="3"/>
        <v>9</v>
      </c>
      <c r="AD17" s="203">
        <f t="shared" si="3"/>
        <v>9</v>
      </c>
      <c r="AE17" s="203">
        <f t="shared" si="3"/>
        <v>9</v>
      </c>
      <c r="AF17" s="203">
        <f t="shared" si="3"/>
        <v>9</v>
      </c>
      <c r="AG17" s="203">
        <f t="shared" si="3"/>
        <v>9</v>
      </c>
      <c r="AH17" s="203">
        <f t="shared" si="3"/>
        <v>9</v>
      </c>
      <c r="AI17" s="203">
        <f t="shared" si="3"/>
        <v>10</v>
      </c>
      <c r="AJ17" s="204">
        <f t="shared" si="3"/>
        <v>10</v>
      </c>
      <c r="AK17" s="398"/>
      <c r="AL17" s="114" cm="1">
        <f t="array" ref="AL17">SUM(IF(FREQUENCY(F17:AJ17,F17:AJ17)&gt;0,1))</f>
        <v>6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46054</v>
      </c>
      <c r="G18" s="28">
        <f t="shared" ref="G18:AJ18" si="4">IF(G14,G16,0)</f>
        <v>46055</v>
      </c>
      <c r="H18" s="27">
        <f t="shared" si="4"/>
        <v>46056</v>
      </c>
      <c r="I18" s="27">
        <f t="shared" si="4"/>
        <v>46057</v>
      </c>
      <c r="J18" s="27">
        <f t="shared" si="4"/>
        <v>46058</v>
      </c>
      <c r="K18" s="27">
        <f t="shared" si="4"/>
        <v>46059</v>
      </c>
      <c r="L18" s="27">
        <f t="shared" si="4"/>
        <v>46060</v>
      </c>
      <c r="M18" s="27">
        <f t="shared" si="4"/>
        <v>46061</v>
      </c>
      <c r="N18" s="27">
        <f t="shared" si="4"/>
        <v>46062</v>
      </c>
      <c r="O18" s="27">
        <f t="shared" si="4"/>
        <v>46063</v>
      </c>
      <c r="P18" s="27">
        <f t="shared" si="4"/>
        <v>46064</v>
      </c>
      <c r="Q18" s="27">
        <f t="shared" si="4"/>
        <v>46065</v>
      </c>
      <c r="R18" s="27">
        <f t="shared" si="4"/>
        <v>46066</v>
      </c>
      <c r="S18" s="27">
        <f t="shared" si="4"/>
        <v>46067</v>
      </c>
      <c r="T18" s="27">
        <f t="shared" si="4"/>
        <v>46068</v>
      </c>
      <c r="U18" s="27">
        <f t="shared" si="4"/>
        <v>46069</v>
      </c>
      <c r="V18" s="27">
        <f t="shared" si="4"/>
        <v>46070</v>
      </c>
      <c r="W18" s="27">
        <f t="shared" si="4"/>
        <v>46071</v>
      </c>
      <c r="X18" s="27">
        <f t="shared" si="4"/>
        <v>46072</v>
      </c>
      <c r="Y18" s="27">
        <f t="shared" si="4"/>
        <v>46073</v>
      </c>
      <c r="Z18" s="27">
        <f t="shared" si="4"/>
        <v>46074</v>
      </c>
      <c r="AA18" s="27">
        <f t="shared" si="4"/>
        <v>46075</v>
      </c>
      <c r="AB18" s="27">
        <f t="shared" si="4"/>
        <v>46076</v>
      </c>
      <c r="AC18" s="27">
        <f t="shared" si="4"/>
        <v>46077</v>
      </c>
      <c r="AD18" s="27">
        <f t="shared" si="4"/>
        <v>46078</v>
      </c>
      <c r="AE18" s="27">
        <f t="shared" si="4"/>
        <v>46079</v>
      </c>
      <c r="AF18" s="27">
        <f t="shared" si="4"/>
        <v>46080</v>
      </c>
      <c r="AG18" s="27">
        <f t="shared" si="4"/>
        <v>46081</v>
      </c>
      <c r="AH18" s="27">
        <f t="shared" si="4"/>
        <v>0</v>
      </c>
      <c r="AI18" s="198">
        <f t="shared" si="4"/>
        <v>0</v>
      </c>
      <c r="AJ18" s="198">
        <f t="shared" si="4"/>
        <v>0</v>
      </c>
      <c r="AK18" s="399"/>
      <c r="AL18" s="115">
        <f>_xlfn.DAYS(EOMONTH($F$18,0),$F$18)+1</f>
        <v>28</v>
      </c>
      <c r="AM18" s="287">
        <f>AL19*A_fldSollTagStd</f>
        <v>160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dim.</v>
      </c>
      <c r="G19" s="92" t="str">
        <f>IF(G14=1,TEXT(G$18,H_Label!$B$24&amp;"TTT"),0)</f>
        <v>lun.</v>
      </c>
      <c r="H19" s="92" t="str">
        <f>IF(H14=1,TEXT(H$18,H_Label!$B$24&amp;"TTT"),0)</f>
        <v>mar.</v>
      </c>
      <c r="I19" s="92" t="str">
        <f>IF(I14=1,TEXT(I$18,H_Label!$B$24&amp;"TTT"),0)</f>
        <v>mer.</v>
      </c>
      <c r="J19" s="92" t="str">
        <f>IF(J14=1,TEXT(J$18,H_Label!$B$24&amp;"TTT"),0)</f>
        <v>jeu.</v>
      </c>
      <c r="K19" s="92" t="str">
        <f>IF(K14=1,TEXT(K$18,H_Label!$B$24&amp;"TTT"),0)</f>
        <v>ven.</v>
      </c>
      <c r="L19" s="92" t="str">
        <f>IF(L14=1,TEXT(L$18,H_Label!$B$24&amp;"TTT"),0)</f>
        <v>sam.</v>
      </c>
      <c r="M19" s="92" t="str">
        <f>IF(M14=1,TEXT(M$18,H_Label!$B$24&amp;"TTT"),0)</f>
        <v>dim.</v>
      </c>
      <c r="N19" s="92" t="str">
        <f>IF(N14=1,TEXT(N$18,H_Label!$B$24&amp;"TTT"),0)</f>
        <v>lun.</v>
      </c>
      <c r="O19" s="92" t="str">
        <f>IF(O14=1,TEXT(O$18,H_Label!$B$24&amp;"TTT"),0)</f>
        <v>mar.</v>
      </c>
      <c r="P19" s="92" t="str">
        <f>IF(P14=1,TEXT(P$18,H_Label!$B$24&amp;"TTT"),0)</f>
        <v>mer.</v>
      </c>
      <c r="Q19" s="92" t="str">
        <f>IF(Q14=1,TEXT(Q$18,H_Label!$B$24&amp;"TTT"),0)</f>
        <v>jeu.</v>
      </c>
      <c r="R19" s="92" t="str">
        <f>IF(R14=1,TEXT(R$18,H_Label!$B$24&amp;"TTT"),0)</f>
        <v>ven.</v>
      </c>
      <c r="S19" s="92" t="str">
        <f>IF(S14=1,TEXT(S$18,H_Label!$B$24&amp;"TTT"),0)</f>
        <v>sam.</v>
      </c>
      <c r="T19" s="92" t="str">
        <f>IF(T14=1,TEXT(T$18,H_Label!$B$24&amp;"TTT"),0)</f>
        <v>dim.</v>
      </c>
      <c r="U19" s="92" t="str">
        <f>IF(U14=1,TEXT(U$18,H_Label!$B$24&amp;"TTT"),0)</f>
        <v>lun.</v>
      </c>
      <c r="V19" s="92" t="str">
        <f>IF(V14=1,TEXT(V$18,H_Label!$B$24&amp;"TTT"),0)</f>
        <v>mar.</v>
      </c>
      <c r="W19" s="92" t="str">
        <f>IF(W14=1,TEXT(W$18,H_Label!$B$24&amp;"TTT"),0)</f>
        <v>mer.</v>
      </c>
      <c r="X19" s="92" t="str">
        <f>IF(X14=1,TEXT(X$18,H_Label!$B$24&amp;"TTT"),0)</f>
        <v>jeu.</v>
      </c>
      <c r="Y19" s="92" t="str">
        <f>IF(Y14=1,TEXT(Y$18,H_Label!$B$24&amp;"TTT"),0)</f>
        <v>ven.</v>
      </c>
      <c r="Z19" s="92" t="str">
        <f>IF(Z14=1,TEXT(Z$18,H_Label!$B$24&amp;"TTT"),0)</f>
        <v>sam.</v>
      </c>
      <c r="AA19" s="92" t="str">
        <f>IF(AA14=1,TEXT(AA$18,H_Label!$B$24&amp;"TTT"),0)</f>
        <v>dim.</v>
      </c>
      <c r="AB19" s="92" t="str">
        <f>IF(AB14=1,TEXT(AB$18,H_Label!$B$24&amp;"TTT"),0)</f>
        <v>lun.</v>
      </c>
      <c r="AC19" s="92" t="str">
        <f>IF(AC14=1,TEXT(AC$18,H_Label!$B$24&amp;"TTT"),0)</f>
        <v>mar.</v>
      </c>
      <c r="AD19" s="92" t="str">
        <f>IF(AD14=1,TEXT(AD$18,H_Label!$B$24&amp;"TTT"),0)</f>
        <v>mer.</v>
      </c>
      <c r="AE19" s="92" t="str">
        <f>IF(AE14=1,TEXT(AE$18,H_Label!$B$24&amp;"TTT"),0)</f>
        <v>jeu.</v>
      </c>
      <c r="AF19" s="92" t="str">
        <f>IF(AF14=1,TEXT(AF$18,H_Label!$B$24&amp;"TTT"),0)</f>
        <v>ven.</v>
      </c>
      <c r="AG19" s="92" t="str">
        <f>IF(AG14=1,TEXT(AG$18,H_Label!$B$24&amp;"TTT"),0)</f>
        <v>sam.</v>
      </c>
      <c r="AH19" s="92">
        <f>IF(AH14=1,TEXT(AH$18,H_Label!$B$24&amp;"TTT"),0)</f>
        <v>0</v>
      </c>
      <c r="AI19" s="92">
        <f>IF(AI14=1,TEXT(AI$18,H_Label!$B$24&amp;"TTT"),0)</f>
        <v>0</v>
      </c>
      <c r="AJ19" s="92">
        <f>IF(AJ14=1,TEXT(AJ$18,H_Label!$B$24&amp;"TTT"),0)</f>
        <v>0</v>
      </c>
      <c r="AK19" s="400"/>
      <c r="AL19" s="117">
        <f>NETWORKDAYS($F$18,EOMONTH($F$18,0))</f>
        <v>20</v>
      </c>
      <c r="AM19" s="288">
        <f>SUM(F20:AJ20)</f>
        <v>160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heures théorique</v>
      </c>
      <c r="E20" s="19"/>
      <c r="F20" s="26" cm="1">
        <f t="array" ref="F20">IF(OR(F14=0,F54="x"),0,A_fldSollTagStd*SUMPRODUCT((H_tblBGTage=WEEKDAY(F16,2))*(H_tblBGMnt=M_Monat)*H_tblBG%))</f>
        <v>0</v>
      </c>
      <c r="G20" s="26" cm="1">
        <f t="array" ref="G20">IF(OR(G14=0,G54="x"),0,A_fldSollTagStd*SUMPRODUCT((H_tblBGTage=WEEKDAY(G16,2))*(H_tblBGMnt=M_Monat)*H_tblBG%))</f>
        <v>8</v>
      </c>
      <c r="H20" s="26" cm="1">
        <f t="array" ref="H20">IF(OR(H14=0,H54="x"),0,A_fldSollTagStd*SUMPRODUCT((H_tblBGTage=WEEKDAY(H16,2))*(H_tblBGMnt=M_Monat)*H_tblBG%))</f>
        <v>8</v>
      </c>
      <c r="I20" s="26" cm="1">
        <f t="array" ref="I20">IF(OR(I14=0,I54="x"),0,A_fldSollTagStd*SUMPRODUCT((H_tblBGTage=WEEKDAY(I16,2))*(H_tblBGMnt=M_Monat)*H_tblBG%))</f>
        <v>8</v>
      </c>
      <c r="J20" s="26" cm="1">
        <f t="array" ref="J20">IF(OR(J14=0,J54="x"),0,A_fldSollTagStd*SUMPRODUCT((H_tblBGTage=WEEKDAY(J16,2))*(H_tblBGMnt=M_Monat)*H_tblBG%))</f>
        <v>8</v>
      </c>
      <c r="K20" s="26" cm="1">
        <f t="array" ref="K20">IF(OR(K14=0,K54="x"),0,A_fldSollTagStd*SUMPRODUCT((H_tblBGTage=WEEKDAY(K16,2))*(H_tblBGMnt=M_Monat)*H_tblBG%))</f>
        <v>8</v>
      </c>
      <c r="L20" s="26" cm="1">
        <f t="array" ref="L20">IF(OR(L14=0,L54="x"),0,A_fldSollTagStd*SUMPRODUCT((H_tblBGTage=WEEKDAY(L16,2))*(H_tblBGMnt=M_Monat)*H_tblBG%))</f>
        <v>0</v>
      </c>
      <c r="M20" s="26" cm="1">
        <f t="array" ref="M20">IF(OR(M14=0,M54="x"),0,A_fldSollTagStd*SUMPRODUCT((H_tblBGTage=WEEKDAY(M16,2))*(H_tblBGMnt=M_Monat)*H_tblBG%))</f>
        <v>0</v>
      </c>
      <c r="N20" s="26" cm="1">
        <f t="array" ref="N20">IF(OR(N14=0,N54="x"),0,A_fldSollTagStd*SUMPRODUCT((H_tblBGTage=WEEKDAY(N16,2))*(H_tblBGMnt=M_Monat)*H_tblBG%))</f>
        <v>8</v>
      </c>
      <c r="O20" s="26" cm="1">
        <f t="array" ref="O20">IF(OR(O14=0,O54="x"),0,A_fldSollTagStd*SUMPRODUCT((H_tblBGTage=WEEKDAY(O16,2))*(H_tblBGMnt=M_Monat)*H_tblBG%))</f>
        <v>8</v>
      </c>
      <c r="P20" s="26" cm="1">
        <f t="array" ref="P20">IF(OR(P14=0,P54="x"),0,A_fldSollTagStd*SUMPRODUCT((H_tblBGTage=WEEKDAY(P16,2))*(H_tblBGMnt=M_Monat)*H_tblBG%))</f>
        <v>8</v>
      </c>
      <c r="Q20" s="26" cm="1">
        <f t="array" ref="Q20">IF(OR(Q14=0,Q54="x"),0,A_fldSollTagStd*SUMPRODUCT((H_tblBGTage=WEEKDAY(Q16,2))*(H_tblBGMnt=M_Monat)*H_tblBG%))</f>
        <v>8</v>
      </c>
      <c r="R20" s="26" cm="1">
        <f t="array" ref="R20">IF(OR(R14=0,R54="x"),0,A_fldSollTagStd*SUMPRODUCT((H_tblBGTage=WEEKDAY(R16,2))*(H_tblBGMnt=M_Monat)*H_tblBG%))</f>
        <v>8</v>
      </c>
      <c r="S20" s="26" cm="1">
        <f t="array" ref="S20">IF(OR(S14=0,S54="x"),0,A_fldSollTagStd*SUMPRODUCT((H_tblBGTage=WEEKDAY(S16,2))*(H_tblBGMnt=M_Monat)*H_tblBG%))</f>
        <v>0</v>
      </c>
      <c r="T20" s="26" cm="1">
        <f t="array" ref="T20">IF(OR(T14=0,T54="x"),0,A_fldSollTagStd*SUMPRODUCT((H_tblBGTage=WEEKDAY(T16,2))*(H_tblBGMnt=M_Monat)*H_tblBG%))</f>
        <v>0</v>
      </c>
      <c r="U20" s="26" cm="1">
        <f t="array" ref="U20">IF(OR(U14=0,U54="x"),0,A_fldSollTagStd*SUMPRODUCT((H_tblBGTage=WEEKDAY(U16,2))*(H_tblBGMnt=M_Monat)*H_tblBG%))</f>
        <v>8</v>
      </c>
      <c r="V20" s="26" cm="1">
        <f t="array" ref="V20">IF(OR(V14=0,V54="x"),0,A_fldSollTagStd*SUMPRODUCT((H_tblBGTage=WEEKDAY(V16,2))*(H_tblBGMnt=M_Monat)*H_tblBG%))</f>
        <v>8</v>
      </c>
      <c r="W20" s="26" cm="1">
        <f t="array" ref="W20">IF(OR(W14=0,W54="x"),0,A_fldSollTagStd*SUMPRODUCT((H_tblBGTage=WEEKDAY(W16,2))*(H_tblBGMnt=M_Monat)*H_tblBG%))</f>
        <v>8</v>
      </c>
      <c r="X20" s="26" cm="1">
        <f t="array" ref="X20">IF(OR(X14=0,X54="x"),0,A_fldSollTagStd*SUMPRODUCT((H_tblBGTage=WEEKDAY(X16,2))*(H_tblBGMnt=M_Monat)*H_tblBG%))</f>
        <v>8</v>
      </c>
      <c r="Y20" s="26" cm="1">
        <f t="array" ref="Y20">IF(OR(Y14=0,Y54="x"),0,A_fldSollTagStd*SUMPRODUCT((H_tblBGTage=WEEKDAY(Y16,2))*(H_tblBGMnt=M_Monat)*H_tblBG%))</f>
        <v>8</v>
      </c>
      <c r="Z20" s="26" cm="1">
        <f t="array" ref="Z20">IF(OR(Z14=0,Z54="x"),0,A_fldSollTagStd*SUMPRODUCT((H_tblBGTage=WEEKDAY(Z16,2))*(H_tblBGMnt=M_Monat)*H_tblBG%))</f>
        <v>0</v>
      </c>
      <c r="AA20" s="26" cm="1">
        <f t="array" ref="AA20">IF(OR(AA14=0,AA54="x"),0,A_fldSollTagStd*SUMPRODUCT((H_tblBGTage=WEEKDAY(AA16,2))*(H_tblBGMnt=M_Monat)*H_tblBG%))</f>
        <v>0</v>
      </c>
      <c r="AB20" s="26" cm="1">
        <f t="array" ref="AB20">IF(OR(AB14=0,AB54="x"),0,A_fldSollTagStd*SUMPRODUCT((H_tblBGTage=WEEKDAY(AB16,2))*(H_tblBGMnt=M_Monat)*H_tblBG%))</f>
        <v>8</v>
      </c>
      <c r="AC20" s="26" cm="1">
        <f t="array" ref="AC20">IF(OR(AC14=0,AC54="x"),0,A_fldSollTagStd*SUMPRODUCT((H_tblBGTage=WEEKDAY(AC16,2))*(H_tblBGMnt=M_Monat)*H_tblBG%))</f>
        <v>8</v>
      </c>
      <c r="AD20" s="26" cm="1">
        <f t="array" ref="AD20">IF(OR(AD14=0,AD54="x"),0,A_fldSollTagStd*SUMPRODUCT((H_tblBGTage=WEEKDAY(AD16,2))*(H_tblBGMnt=M_Monat)*H_tblBG%))</f>
        <v>8</v>
      </c>
      <c r="AE20" s="26" cm="1">
        <f t="array" ref="AE20">IF(OR(AE14=0,AE54="x"),0,A_fldSollTagStd*SUMPRODUCT((H_tblBGTage=WEEKDAY(AE16,2))*(H_tblBGMnt=M_Monat)*H_tblBG%))</f>
        <v>8</v>
      </c>
      <c r="AF20" s="26" cm="1">
        <f t="array" ref="AF20">IF(OR(AF14=0,AF54="x"),0,A_fldSollTagStd*SUMPRODUCT((H_tblBGTage=WEEKDAY(AF16,2))*(H_tblBGMnt=M_Monat)*H_tblBG%))</f>
        <v>8</v>
      </c>
      <c r="AG20" s="26" cm="1">
        <f t="array" ref="AG20">IF(OR(AG14=0,AG54="x"),0,A_fldSollTagStd*SUMPRODUCT((H_tblBGTage=WEEKDAY(AG16,2))*(H_tblBGMnt=M_Monat)*H_tblBG%))</f>
        <v>0</v>
      </c>
      <c r="AH20" s="26" cm="1">
        <f t="array" ref="AH20">IF(OR(AH14=0,AH54="x"),0,A_fldSollTagStd*SUMPRODUCT((H_tblBGTage=WEEKDAY(AH16,2))*(H_tblBGMnt=M_Monat)*H_tblBG%))</f>
        <v>0</v>
      </c>
      <c r="AI20" s="199" cm="1">
        <f t="array" ref="AI20">IF(OR(AI14=0,AI54="x"),0,A_fldSollTagStd*SUMPRODUCT((H_tblBGTage=WEEKDAY(AI16,2))*(H_tblBGMnt=M_Monat)*H_tblBG%))</f>
        <v>0</v>
      </c>
      <c r="AJ20" s="199" cm="1">
        <f t="array" ref="AJ20">IF(OR(AJ14=0,AJ54="x"),0,A_fldSollTagStd*SUMPRODUCT((H_tblBGTage=WEEKDAY(AJ16,2))*(H_tblBGMnt=M_Monat)*H_tblBG%))</f>
        <v>0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jours fériés</v>
      </c>
      <c r="E21" s="20"/>
      <c r="F21" s="195" t="str" cm="1">
        <f t="array" ref="F21">INDEX(H_Calendar!$K$10:$K$375,MATCH(1,INDEX((H_Calendar!$E$10:$E$375=M_Monat)*(H_Calendar!$H$10:$H$375=DAY(F$18)),0,1),0))</f>
        <v/>
      </c>
      <c r="G21" s="195" t="str" cm="1">
        <f t="array" ref="G21">INDEX(H_Calendar!$K$10:$K$375,MATCH(1,INDEX((H_Calendar!$E$10:$E$375=M_Monat)*(H_Calendar!$H$10:$H$375=DAY(G$18)),0,1),0))</f>
        <v/>
      </c>
      <c r="H21" s="195" t="str" cm="1">
        <f t="array" ref="H21">INDEX(H_Calendar!$K$10:$K$375,MATCH(1,INDEX((H_Calendar!$E$10:$E$375=M_Monat)*(H_Calendar!$H$10:$H$375=DAY(H$18)),0,1),0))</f>
        <v/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/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/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/>
      </c>
      <c r="AD21" s="195" t="str" cm="1">
        <f t="array" ref="AD21">INDEX(H_Calendar!$K$10:$K$375,MATCH(1,INDEX((H_Calendar!$E$10:$E$375=M_Monat)*(H_Calendar!$H$10:$H$375=DAY(AD$18)),0,1),0))</f>
        <v/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0</v>
      </c>
      <c r="AM21" s="320">
        <f>COUNTIF(F21:AJ21,"ft")</f>
        <v>0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heures productives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thickBot="1" x14ac:dyDescent="0.25">
      <c r="A25" s="252"/>
      <c r="B25" s="438"/>
      <c r="C25" s="252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hidden="1" customHeight="1" x14ac:dyDescent="0.2">
      <c r="A26" s="252"/>
      <c r="B26" s="438"/>
      <c r="C26" s="252">
        <v>4</v>
      </c>
      <c r="D26" s="606" t="str">
        <f>H_Label!B313</f>
        <v>temps de trajet (total)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hidden="1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déduction de temps de trajet = 0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total journalier y c. temp de trajet payé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total hebdomadaire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t="str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/>
      </c>
      <c r="AI29" s="143" t="str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/>
      </c>
      <c r="AJ29" s="144" t="str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/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crédits et majorations</v>
      </c>
      <c r="E30" s="87"/>
      <c r="F30" s="145" t="str">
        <f>H_Label!B264</f>
        <v>1)  25% majoration temporelle pour depassement les heures maximales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majoration temporelle pour travail de nuit</v>
      </c>
      <c r="Q30" s="145"/>
      <c r="R30" s="145"/>
      <c r="S30" s="145"/>
      <c r="T30" s="145"/>
      <c r="U30" s="145"/>
      <c r="V30" s="145"/>
      <c r="W30" s="145" t="str">
        <f>H_Label!B266</f>
        <v>3) 100% majoration temporelle pour travail du dimanche et jour férié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Majoration  "jf"</v>
      </c>
      <c r="E31" s="23"/>
      <c r="F31" s="24">
        <f t="shared" ref="F31:AG31" si="8">IF(F21="ft",F20,0)</f>
        <v>0</v>
      </c>
      <c r="G31" s="24">
        <f t="shared" si="8"/>
        <v>0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0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0</v>
      </c>
      <c r="AD31" s="24">
        <f t="shared" si="8"/>
        <v>0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0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Majorations temp.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/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/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Majorations temp.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Majorations temp.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>
        <f>H_Label!B273</f>
        <v>0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vacances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compensation année passée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42" si="11">SUM(F37:AJ37)</f>
        <v>0</v>
      </c>
      <c r="AM37" s="292">
        <f t="shared" ref="AM37:AM42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compensation année en cours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absences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maladie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accident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absences de grossesse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Congé de maternité/paternité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militaire/promotion/protection civile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ref="AL44:AL50" si="13">SUM(F44:AJ44)</f>
        <v>0</v>
      </c>
      <c r="AM44" s="292">
        <f t="shared" ref="AM44:AM50" si="14">COUNT(F44:AJ44)</f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école professionelle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3"/>
        <v>0</v>
      </c>
      <c r="AM45" s="292">
        <f t="shared" si="14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cours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3"/>
        <v>0</v>
      </c>
      <c r="AM46" s="292">
        <f t="shared" si="14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chômage partiel et intempéries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3"/>
        <v>0</v>
      </c>
      <c r="AM47" s="292">
        <f t="shared" si="14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arrêts définis par l'entreprise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3"/>
        <v>0</v>
      </c>
      <c r="AM48" s="292">
        <f t="shared" si="14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vacances non payées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3"/>
        <v>0</v>
      </c>
      <c r="AM49" s="292">
        <f t="shared" si="14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heures manquantes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3"/>
        <v>0</v>
      </c>
      <c r="AM50" s="292">
        <f t="shared" si="14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heures inproductives totales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5">ROUND(SUM(H39:H48),4)</f>
        <v>0</v>
      </c>
      <c r="I51" s="433">
        <f t="shared" si="15"/>
        <v>0</v>
      </c>
      <c r="J51" s="433">
        <f t="shared" si="15"/>
        <v>0</v>
      </c>
      <c r="K51" s="433">
        <f t="shared" si="15"/>
        <v>0</v>
      </c>
      <c r="L51" s="433">
        <f t="shared" si="15"/>
        <v>0</v>
      </c>
      <c r="M51" s="433">
        <f t="shared" si="15"/>
        <v>0</v>
      </c>
      <c r="N51" s="433">
        <f t="shared" si="15"/>
        <v>0</v>
      </c>
      <c r="O51" s="433">
        <f t="shared" si="15"/>
        <v>0</v>
      </c>
      <c r="P51" s="433">
        <f t="shared" si="15"/>
        <v>0</v>
      </c>
      <c r="Q51" s="433">
        <f t="shared" si="15"/>
        <v>0</v>
      </c>
      <c r="R51" s="433">
        <f t="shared" si="15"/>
        <v>0</v>
      </c>
      <c r="S51" s="433">
        <f t="shared" si="15"/>
        <v>0</v>
      </c>
      <c r="T51" s="433">
        <f t="shared" si="15"/>
        <v>0</v>
      </c>
      <c r="U51" s="433">
        <f t="shared" si="15"/>
        <v>0</v>
      </c>
      <c r="V51" s="433">
        <f t="shared" si="15"/>
        <v>0</v>
      </c>
      <c r="W51" s="433">
        <f t="shared" si="15"/>
        <v>0</v>
      </c>
      <c r="X51" s="433">
        <f t="shared" si="15"/>
        <v>0</v>
      </c>
      <c r="Y51" s="433">
        <f t="shared" si="15"/>
        <v>0</v>
      </c>
      <c r="Z51" s="433">
        <f t="shared" si="15"/>
        <v>0</v>
      </c>
      <c r="AA51" s="433">
        <f t="shared" si="15"/>
        <v>0</v>
      </c>
      <c r="AB51" s="433">
        <f t="shared" si="15"/>
        <v>0</v>
      </c>
      <c r="AC51" s="433">
        <f t="shared" si="15"/>
        <v>0</v>
      </c>
      <c r="AD51" s="433">
        <f t="shared" si="15"/>
        <v>0</v>
      </c>
      <c r="AE51" s="433">
        <f t="shared" si="15"/>
        <v>0</v>
      </c>
      <c r="AF51" s="433">
        <f t="shared" si="15"/>
        <v>0</v>
      </c>
      <c r="AG51" s="433">
        <f t="shared" si="15"/>
        <v>0</v>
      </c>
      <c r="AH51" s="433">
        <f t="shared" si="15"/>
        <v>0</v>
      </c>
      <c r="AI51" s="433">
        <f t="shared" si="15"/>
        <v>0</v>
      </c>
      <c r="AJ51" s="434">
        <f t="shared" si="15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contrôle et corrections</v>
      </c>
      <c r="E52" s="87"/>
      <c r="F52" s="146"/>
      <c r="G52" s="147" t="str">
        <f>H_Label!B292</f>
        <v>veuillez cocher les jours de correction avec "x"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jour de carence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exclure jour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20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corrections manuelles</v>
      </c>
      <c r="E56" s="149"/>
      <c r="F56" s="150" t="str">
        <f>H_Label!B298</f>
        <v>heures payées se année passée</v>
      </c>
      <c r="G56" s="150"/>
      <c r="H56" s="150"/>
      <c r="I56" s="150"/>
      <c r="J56" s="150"/>
      <c r="K56" s="835"/>
      <c r="L56" s="836"/>
      <c r="M56" s="837"/>
      <c r="N56" s="148"/>
      <c r="O56" s="148"/>
      <c r="P56" s="150" t="str">
        <f>H_Label!B299</f>
        <v>heures payées année en cours (heures supplémentaires)</v>
      </c>
      <c r="Q56" s="148"/>
      <c r="R56" s="148"/>
      <c r="S56" s="148"/>
      <c r="T56" s="148"/>
      <c r="U56" s="148"/>
      <c r="V56" s="148"/>
      <c r="W56" s="835"/>
      <c r="X56" s="836"/>
      <c r="Y56" s="837"/>
      <c r="Z56" s="148"/>
      <c r="AA56" s="150"/>
      <c r="AB56" s="148"/>
      <c r="AC56" s="148"/>
      <c r="AD56" s="150" t="str">
        <f>H_Label!B300</f>
        <v>vacances avoir / déduction</v>
      </c>
      <c r="AE56" s="150"/>
      <c r="AF56" s="150"/>
      <c r="AG56" s="150"/>
      <c r="AH56" s="835"/>
      <c r="AI56" s="836"/>
      <c r="AJ56" s="837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remarques</v>
      </c>
      <c r="E58" s="152"/>
      <c r="F58" s="814"/>
      <c r="G58" s="815"/>
      <c r="H58" s="815"/>
      <c r="I58" s="815"/>
      <c r="J58" s="815"/>
      <c r="K58" s="815"/>
      <c r="L58" s="815"/>
      <c r="M58" s="815"/>
      <c r="N58" s="815"/>
      <c r="O58" s="815"/>
      <c r="P58" s="815"/>
      <c r="Q58" s="815"/>
      <c r="R58" s="815"/>
      <c r="S58" s="815"/>
      <c r="T58" s="815"/>
      <c r="U58" s="815"/>
      <c r="V58" s="815"/>
      <c r="W58" s="815"/>
      <c r="X58" s="815"/>
      <c r="Y58" s="815"/>
      <c r="Z58" s="815"/>
      <c r="AA58" s="815"/>
      <c r="AB58" s="815"/>
      <c r="AC58" s="815"/>
      <c r="AD58" s="815"/>
      <c r="AE58" s="815"/>
      <c r="AF58" s="815"/>
      <c r="AG58" s="815"/>
      <c r="AH58" s="815"/>
      <c r="AI58" s="815"/>
      <c r="AJ58" s="816"/>
      <c r="AK58" s="396"/>
    </row>
    <row r="59" spans="1:46" ht="12" customHeight="1" x14ac:dyDescent="0.25">
      <c r="D59" s="153"/>
      <c r="E59" s="153"/>
      <c r="F59" s="817"/>
      <c r="G59" s="818"/>
      <c r="H59" s="818"/>
      <c r="I59" s="818"/>
      <c r="J59" s="818"/>
      <c r="K59" s="818"/>
      <c r="L59" s="818"/>
      <c r="M59" s="818"/>
      <c r="N59" s="818"/>
      <c r="O59" s="818"/>
      <c r="P59" s="818"/>
      <c r="Q59" s="818"/>
      <c r="R59" s="818"/>
      <c r="S59" s="818"/>
      <c r="T59" s="818"/>
      <c r="U59" s="818"/>
      <c r="V59" s="818"/>
      <c r="W59" s="818"/>
      <c r="X59" s="818"/>
      <c r="Y59" s="818"/>
      <c r="Z59" s="818"/>
      <c r="AA59" s="818"/>
      <c r="AB59" s="818"/>
      <c r="AC59" s="818"/>
      <c r="AD59" s="818"/>
      <c r="AE59" s="818"/>
      <c r="AF59" s="818"/>
      <c r="AG59" s="818"/>
      <c r="AH59" s="818"/>
      <c r="AI59" s="818"/>
      <c r="AJ59" s="819"/>
      <c r="AK59" s="396"/>
    </row>
    <row r="60" spans="1:46" ht="12" customHeight="1" x14ac:dyDescent="0.25">
      <c r="D60" s="154"/>
      <c r="E60" s="154"/>
      <c r="F60" s="832"/>
      <c r="G60" s="833"/>
      <c r="H60" s="833"/>
      <c r="I60" s="833"/>
      <c r="J60" s="833"/>
      <c r="K60" s="833"/>
      <c r="L60" s="833"/>
      <c r="M60" s="833"/>
      <c r="N60" s="833"/>
      <c r="O60" s="833"/>
      <c r="P60" s="833"/>
      <c r="Q60" s="833"/>
      <c r="R60" s="833"/>
      <c r="S60" s="833"/>
      <c r="T60" s="833"/>
      <c r="U60" s="833"/>
      <c r="V60" s="833"/>
      <c r="W60" s="833"/>
      <c r="X60" s="833"/>
      <c r="Y60" s="833"/>
      <c r="Z60" s="833"/>
      <c r="AA60" s="833"/>
      <c r="AB60" s="833"/>
      <c r="AC60" s="833"/>
      <c r="AD60" s="833"/>
      <c r="AE60" s="833"/>
      <c r="AF60" s="833"/>
      <c r="AG60" s="833"/>
      <c r="AH60" s="833"/>
      <c r="AI60" s="833"/>
      <c r="AJ60" s="834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J'ai contrôlé les comptes mensuels et vérifié leur exactitude.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09"/>
      <c r="G63" s="809"/>
      <c r="H63" s="809"/>
      <c r="I63" s="809"/>
      <c r="J63" s="809"/>
      <c r="K63" s="809"/>
      <c r="L63" s="809"/>
      <c r="M63" s="809"/>
      <c r="V63" s="809"/>
      <c r="W63" s="809"/>
      <c r="X63" s="809"/>
      <c r="Y63" s="809"/>
      <c r="Z63" s="809"/>
      <c r="AA63" s="809"/>
      <c r="AB63" s="809"/>
      <c r="AC63" s="809"/>
      <c r="AH63" s="809"/>
      <c r="AI63" s="809"/>
      <c r="AJ63" s="809"/>
    </row>
    <row r="64" spans="1:46" ht="15.75" x14ac:dyDescent="0.25">
      <c r="D64" s="156" t="str">
        <f>H_Label!B306</f>
        <v>visa employé</v>
      </c>
      <c r="E64" s="156"/>
      <c r="F64" s="810"/>
      <c r="G64" s="810"/>
      <c r="H64" s="810"/>
      <c r="I64" s="810"/>
      <c r="J64" s="810"/>
      <c r="K64" s="810"/>
      <c r="L64" s="810"/>
      <c r="M64" s="810"/>
      <c r="N64" s="156"/>
      <c r="O64" s="148"/>
      <c r="P64" s="156" t="str">
        <f>H_Label!B307</f>
        <v>visa supérieur hiérarchique</v>
      </c>
      <c r="Q64" s="148"/>
      <c r="R64" s="15"/>
      <c r="S64" s="156"/>
      <c r="T64" s="156"/>
      <c r="U64" s="156"/>
      <c r="V64" s="810"/>
      <c r="W64" s="810"/>
      <c r="X64" s="810"/>
      <c r="Y64" s="810"/>
      <c r="Z64" s="810"/>
      <c r="AA64" s="810"/>
      <c r="AB64" s="810"/>
      <c r="AC64" s="810"/>
      <c r="AD64" s="148"/>
      <c r="AE64" s="15"/>
      <c r="AF64" s="156" t="str">
        <f>H_Label!B308</f>
        <v>date</v>
      </c>
      <c r="AG64" s="15"/>
      <c r="AH64" s="810"/>
      <c r="AI64" s="810"/>
      <c r="AJ64" s="810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OLNdgcz4XJeVZggDmTtaPVjX5i6+6ES4ZEEe+JRGBLiO+PeV/+Sk5UltaFjpnkGgWXrTo+zIyjxgbmibZekXZA==" saltValue="TC2qvcoTPkq1XMzAIGSSZw==" spinCount="100000" sheet="1" objects="1" scenarios="1"/>
  <mergeCells count="23">
    <mergeCell ref="F63:M64"/>
    <mergeCell ref="V63:AC64"/>
    <mergeCell ref="AH63:AJ64"/>
    <mergeCell ref="K56:M56"/>
    <mergeCell ref="W56:Y56"/>
    <mergeCell ref="AH56:AJ56"/>
    <mergeCell ref="F58:AJ58"/>
    <mergeCell ref="F59:AJ59"/>
    <mergeCell ref="F60:AJ60"/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</mergeCells>
  <conditionalFormatting sqref="D37:AJ37">
    <cfRule type="expression" dxfId="206" priority="14">
      <formula>AND(M_Monat&gt;4,M_Monat&lt;10)</formula>
    </cfRule>
    <cfRule type="expression" dxfId="205" priority="15">
      <formula>M_Monat&gt;=10</formula>
    </cfRule>
  </conditionalFormatting>
  <conditionalFormatting sqref="E15:AK15">
    <cfRule type="expression" dxfId="204" priority="9">
      <formula>E$15=2</formula>
    </cfRule>
  </conditionalFormatting>
  <conditionalFormatting sqref="F17:AJ17">
    <cfRule type="expression" dxfId="203" priority="12">
      <formula>OR(AND(DAY(F$16)&lt;&gt;1,WEEKDAY(F$16,2)&lt;&gt;1),F$14=0)</formula>
    </cfRule>
    <cfRule type="expression" dxfId="202" priority="13">
      <formula>OR(F$15=2,AND(F$14=1,WEEKDAY(F$16,2)=7))</formula>
    </cfRule>
  </conditionalFormatting>
  <conditionalFormatting sqref="F18:AJ21 F23:AJ28 F31:AJ31 F33:AJ34 F36:AJ51 F53:AJ54">
    <cfRule type="expression" dxfId="201" priority="17">
      <formula>F$21="ft"</formula>
    </cfRule>
  </conditionalFormatting>
  <conditionalFormatting sqref="F18:AJ21 F23:AJ29 F31:AJ34 F36:AJ51 F53:AJ54">
    <cfRule type="expression" dxfId="200" priority="8">
      <formula>AND(F$14=0,$B18=0)</formula>
    </cfRule>
  </conditionalFormatting>
  <conditionalFormatting sqref="F28:AJ29 F32:AJ32">
    <cfRule type="expression" dxfId="199" priority="10">
      <formula>OR(WEEKDAY(F$16,2)=7,F$15=2)</formula>
    </cfRule>
  </conditionalFormatting>
  <conditionalFormatting sqref="F36:AJ51 F53:AJ54 F18:AJ21 F23:AJ28 F31:AJ31 F33:AJ34">
    <cfRule type="expression" dxfId="198" priority="16">
      <formula>WEEKDAY(F$18,2)=7</formula>
    </cfRule>
    <cfRule type="expression" dxfId="197" priority="18">
      <formula>WEEKDAY(F$18,2)=6</formula>
    </cfRule>
  </conditionalFormatting>
  <conditionalFormatting sqref="F53:AJ54">
    <cfRule type="containsText" dxfId="196" priority="11" operator="containsText" text="x">
      <formula>NOT(ISERROR(SEARCH("x",F53)))</formula>
    </cfRule>
  </conditionalFormatting>
  <conditionalFormatting sqref="J3:L3">
    <cfRule type="expression" dxfId="195" priority="1">
      <formula>B_fldSaldoVJ=0</formula>
    </cfRule>
  </conditionalFormatting>
  <conditionalFormatting sqref="AB3:AD3">
    <cfRule type="expression" dxfId="192" priority="2">
      <formula>H_fldFerienEndSaldo&lt;0</formula>
    </cfRule>
  </conditionalFormatting>
  <conditionalFormatting sqref="AG18:AJ21 AG23:AJ29 AG31:AJ34 AG36:AJ51 AG53:AJ54">
    <cfRule type="expression" dxfId="191" priority="6">
      <formula>AND(AG$14=0,$B18&lt;&gt;0)</formula>
    </cfRule>
    <cfRule type="expression" dxfId="190" priority="7">
      <formula>AG$15=2</formula>
    </cfRule>
  </conditionalFormatting>
  <conditionalFormatting sqref="AJ17:AJ21 AJ23:AJ29 AJ31:AJ34 AJ36:AJ51 AJ53:AJ54">
    <cfRule type="expression" dxfId="189" priority="5">
      <formula>AK$15="m"</formula>
    </cfRule>
  </conditionalFormatting>
  <dataValidations count="11"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AC2C8042-ABD2-48D8-BD5E-F1F4D8C59C6A}">
      <formula1>-4000</formula1>
      <formula2>24</formula2>
    </dataValidation>
    <dataValidation type="custom" operator="greaterThanOrEqual" showErrorMessage="1" errorTitle="Karenztag" error="Zuerst Stunden im Feld &quot;Krankheit&quot; erfassen!" sqref="F53:AJ53" xr:uid="{6A4A79B4-2E8A-43C9-8A14-577601A51F51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B5157F0E-8A25-4DC1-A422-57CE4B5532BC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FF9A304F-BB41-40CF-95EE-BF0BB1D25213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01E33575-949C-4D44-9925-02281F13B4A7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F89B288F-C5B7-4558-9097-F5BEBB72E083}"/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18DB6493-94AF-4A07-B333-548200853515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B3325473-CCBB-4AAE-B49D-0E781C3032FB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6861B0B4-E616-4863-882D-7656A8EE7C19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BDF30267-4C43-4DD9-8E90-9AD24307AD8E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9:AK50" xr:uid="{033285DB-FB69-48E9-8681-18BE02AA2169}">
      <formula1>-4000</formula1>
    </dataValidation>
  </dataValidations>
  <hyperlinks>
    <hyperlink ref="AJ12" location="Jahresauswertung!H3" display="." xr:uid="{36A64D6D-2B3E-45B1-98BA-33E046DABE1E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D2E170E-C755-4964-B50E-1418A963E37F}">
            <xm:f>'report annuel'!$X$34=0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D5D47841-83C0-4F79-9442-6FA65874D2BF}">
            <xm:f>'report annuel'!$X$34&lt;0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C6C45-A19B-4377-AB2A-6722DDF25A1C}">
  <sheetPr codeName="ts03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:S27"/>
      <selection pane="bottomLeft" activeCell="R27" sqref="R27:S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13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13"/>
      <c r="F3" s="550" t="str">
        <f>H_Label!B32</f>
        <v>heures année passée</v>
      </c>
      <c r="G3" s="551"/>
      <c r="H3" s="551"/>
      <c r="I3" s="551"/>
      <c r="J3" s="812" t="str">
        <f>TEXT('report annuel'!$X$34,"0.00")&amp;" / "&amp;TEXT(B_fldSaldoVJ,"0.00")</f>
        <v>0.00 / 0.00</v>
      </c>
      <c r="K3" s="812"/>
      <c r="L3" s="812"/>
      <c r="M3" s="552"/>
      <c r="N3" s="552"/>
      <c r="O3" s="550" t="str">
        <f>H_Label!B33</f>
        <v>heures année en cours</v>
      </c>
      <c r="P3" s="551"/>
      <c r="Q3" s="551"/>
      <c r="R3" s="551"/>
      <c r="S3" s="551"/>
      <c r="T3" s="831">
        <f>'report annuel'!$AD$43</f>
        <v>-2016</v>
      </c>
      <c r="U3" s="831"/>
      <c r="V3" s="831"/>
      <c r="W3" s="552"/>
      <c r="X3" s="552"/>
      <c r="Y3" s="550" t="str">
        <f>H_Label!B34</f>
        <v>se des vacences</v>
      </c>
      <c r="Z3" s="551"/>
      <c r="AA3" s="551"/>
      <c r="AB3" s="812" t="str">
        <f ca="1">TEXT(H_fldFerienEndSaldo,"0.00")&amp;" / "&amp;TEXT(H_fldFerienSaldoKORR,"0.00")</f>
        <v>176.00 / 176.00</v>
      </c>
      <c r="AC3" s="812"/>
      <c r="AD3" s="812"/>
      <c r="AF3" s="148"/>
      <c r="AG3" s="148"/>
      <c r="AH3" s="148"/>
      <c r="AI3" s="148"/>
      <c r="AJ3" s="148"/>
    </row>
    <row r="4" spans="1:46" ht="13.5" customHeight="1" x14ac:dyDescent="0.25">
      <c r="D4" s="813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taux d'occupation réel</v>
      </c>
      <c r="AH5" s="527"/>
      <c r="AI5" s="830">
        <f>AN54</f>
        <v>1</v>
      </c>
      <c r="AJ5" s="830"/>
      <c r="AK5" s="388"/>
    </row>
    <row r="6" spans="1:46" ht="27.95" customHeight="1" x14ac:dyDescent="0.25">
      <c r="D6" s="174" t="str">
        <f>H_Label!$B$221 &amp;" "&amp;TEXT('fiche du personnel'!$U$1,"JJJJ")</f>
        <v>Contrôle des heures de travail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28" t="str">
        <f>'fiche du personnel'!$G$3</f>
        <v>Peinture Exemple SA</v>
      </c>
      <c r="Z6" s="828"/>
      <c r="AA6" s="828"/>
      <c r="AB6" s="828"/>
      <c r="AC6" s="828"/>
      <c r="AD6" s="828"/>
      <c r="AE6" s="828"/>
      <c r="AF6" s="828"/>
      <c r="AG6" s="828"/>
      <c r="AH6" s="828"/>
      <c r="AI6" s="828"/>
      <c r="AJ6" s="829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employé</v>
      </c>
      <c r="E8" s="31"/>
      <c r="F8" s="820" t="str">
        <f>'fiche du personnel'!$G$6</f>
        <v>Martin Dupont</v>
      </c>
      <c r="G8" s="821"/>
      <c r="H8" s="821"/>
      <c r="I8" s="821"/>
      <c r="J8" s="821"/>
      <c r="K8" s="822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occupation (%)</v>
      </c>
      <c r="E9" s="374"/>
      <c r="F9" s="823" cm="1">
        <f t="array" ref="F9">SUMPRODUCT((H_tblBGMnt=M_Monat)*H_tblBGavg)</f>
        <v>100</v>
      </c>
      <c r="G9" s="824"/>
      <c r="H9" s="825" t="str">
        <f>H_Label!B224&amp;" "&amp;D12</f>
        <v>en mars</v>
      </c>
      <c r="I9" s="826"/>
      <c r="J9" s="826"/>
      <c r="K9" s="827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se pour l'année</v>
      </c>
      <c r="E10" s="89"/>
      <c r="F10" s="838">
        <f>DATE(A_Jahr,AM13,1)</f>
        <v>46082</v>
      </c>
      <c r="G10" s="839"/>
      <c r="H10" s="840">
        <f>'report annuel'!AF42</f>
        <v>-2016</v>
      </c>
      <c r="I10" s="841"/>
      <c r="J10" s="841"/>
      <c r="K10" s="842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11" t="s">
        <v>501</v>
      </c>
      <c r="D12" s="494" t="str">
        <f>TEXT($F$10,"MMMM"&amp;H_Label!$B$23)</f>
        <v>mars</v>
      </c>
      <c r="E12" s="375"/>
      <c r="F12" s="843" t="str">
        <f>H_Label!B231</f>
        <v>se mois + / -</v>
      </c>
      <c r="G12" s="844"/>
      <c r="H12" s="844"/>
      <c r="I12" s="845"/>
      <c r="J12" s="846" cm="1">
        <f t="array" ref="J12">INDEX(H_dMNTCurrentSaldo,1,M_Monat)</f>
        <v>-176</v>
      </c>
      <c r="K12" s="847"/>
      <c r="L12" s="157"/>
      <c r="M12" s="158"/>
      <c r="N12" s="202"/>
      <c r="O12" s="159" t="str">
        <f>H_Label!B240</f>
        <v xml:space="preserve"> = </v>
      </c>
      <c r="P12" s="151" t="str">
        <f>H_Label!B241</f>
        <v>seules les cases/champs jaunes sont saisissables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11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3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11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1</v>
      </c>
      <c r="AI14" s="410">
        <f t="shared" si="0"/>
        <v>1</v>
      </c>
      <c r="AJ14" s="411">
        <f t="shared" si="0"/>
        <v>1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11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3</v>
      </c>
      <c r="AH15" s="418">
        <f t="shared" si="1"/>
        <v>3</v>
      </c>
      <c r="AI15" s="418">
        <f t="shared" si="1"/>
        <v>3</v>
      </c>
      <c r="AJ15" s="419">
        <f t="shared" si="1"/>
        <v>2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46082</v>
      </c>
      <c r="G16" s="422">
        <f>F$16+1</f>
        <v>46083</v>
      </c>
      <c r="H16" s="422">
        <f t="shared" ref="H16:AJ16" si="2">G$16+1</f>
        <v>46084</v>
      </c>
      <c r="I16" s="422">
        <f t="shared" si="2"/>
        <v>46085</v>
      </c>
      <c r="J16" s="422">
        <f t="shared" si="2"/>
        <v>46086</v>
      </c>
      <c r="K16" s="422">
        <f t="shared" si="2"/>
        <v>46087</v>
      </c>
      <c r="L16" s="423">
        <f t="shared" si="2"/>
        <v>46088</v>
      </c>
      <c r="M16" s="423">
        <f t="shared" si="2"/>
        <v>46089</v>
      </c>
      <c r="N16" s="424">
        <f t="shared" si="2"/>
        <v>46090</v>
      </c>
      <c r="O16" s="425">
        <f t="shared" si="2"/>
        <v>46091</v>
      </c>
      <c r="P16" s="425">
        <f t="shared" si="2"/>
        <v>46092</v>
      </c>
      <c r="Q16" s="425">
        <f t="shared" si="2"/>
        <v>46093</v>
      </c>
      <c r="R16" s="425">
        <f t="shared" si="2"/>
        <v>46094</v>
      </c>
      <c r="S16" s="425">
        <f t="shared" si="2"/>
        <v>46095</v>
      </c>
      <c r="T16" s="425">
        <f t="shared" si="2"/>
        <v>46096</v>
      </c>
      <c r="U16" s="425">
        <f t="shared" si="2"/>
        <v>46097</v>
      </c>
      <c r="V16" s="425">
        <f t="shared" si="2"/>
        <v>46098</v>
      </c>
      <c r="W16" s="425">
        <f t="shared" si="2"/>
        <v>46099</v>
      </c>
      <c r="X16" s="425">
        <f t="shared" si="2"/>
        <v>46100</v>
      </c>
      <c r="Y16" s="425">
        <f t="shared" si="2"/>
        <v>46101</v>
      </c>
      <c r="Z16" s="425">
        <f t="shared" si="2"/>
        <v>46102</v>
      </c>
      <c r="AA16" s="425">
        <f t="shared" si="2"/>
        <v>46103</v>
      </c>
      <c r="AB16" s="425">
        <f t="shared" si="2"/>
        <v>46104</v>
      </c>
      <c r="AC16" s="425">
        <f t="shared" si="2"/>
        <v>46105</v>
      </c>
      <c r="AD16" s="425">
        <f t="shared" si="2"/>
        <v>46106</v>
      </c>
      <c r="AE16" s="425">
        <f t="shared" si="2"/>
        <v>46107</v>
      </c>
      <c r="AF16" s="426">
        <f t="shared" si="2"/>
        <v>46108</v>
      </c>
      <c r="AG16" s="426">
        <f t="shared" si="2"/>
        <v>46109</v>
      </c>
      <c r="AH16" s="426">
        <f t="shared" si="2"/>
        <v>46110</v>
      </c>
      <c r="AI16" s="426">
        <f t="shared" si="2"/>
        <v>46111</v>
      </c>
      <c r="AJ16" s="427">
        <f t="shared" si="2"/>
        <v>46112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semaine civile</v>
      </c>
      <c r="E17" s="291"/>
      <c r="F17" s="205">
        <f>WEEKNUM(F$16,21)</f>
        <v>9</v>
      </c>
      <c r="G17" s="203">
        <f t="shared" ref="G17:AJ17" si="3">WEEKNUM(G$16,21)</f>
        <v>10</v>
      </c>
      <c r="H17" s="203">
        <f t="shared" si="3"/>
        <v>10</v>
      </c>
      <c r="I17" s="203">
        <f t="shared" si="3"/>
        <v>10</v>
      </c>
      <c r="J17" s="203">
        <f t="shared" si="3"/>
        <v>10</v>
      </c>
      <c r="K17" s="203">
        <f t="shared" si="3"/>
        <v>10</v>
      </c>
      <c r="L17" s="203">
        <f t="shared" si="3"/>
        <v>10</v>
      </c>
      <c r="M17" s="203">
        <f t="shared" si="3"/>
        <v>10</v>
      </c>
      <c r="N17" s="203">
        <f t="shared" si="3"/>
        <v>11</v>
      </c>
      <c r="O17" s="203">
        <f t="shared" si="3"/>
        <v>11</v>
      </c>
      <c r="P17" s="203">
        <f t="shared" si="3"/>
        <v>11</v>
      </c>
      <c r="Q17" s="203">
        <f t="shared" si="3"/>
        <v>11</v>
      </c>
      <c r="R17" s="203">
        <f t="shared" si="3"/>
        <v>11</v>
      </c>
      <c r="S17" s="203">
        <f t="shared" si="3"/>
        <v>11</v>
      </c>
      <c r="T17" s="203">
        <f t="shared" si="3"/>
        <v>11</v>
      </c>
      <c r="U17" s="203">
        <f t="shared" si="3"/>
        <v>12</v>
      </c>
      <c r="V17" s="203">
        <f t="shared" si="3"/>
        <v>12</v>
      </c>
      <c r="W17" s="203">
        <f t="shared" si="3"/>
        <v>12</v>
      </c>
      <c r="X17" s="203">
        <f t="shared" si="3"/>
        <v>12</v>
      </c>
      <c r="Y17" s="203">
        <f t="shared" si="3"/>
        <v>12</v>
      </c>
      <c r="Z17" s="203">
        <f t="shared" si="3"/>
        <v>12</v>
      </c>
      <c r="AA17" s="203">
        <f t="shared" si="3"/>
        <v>12</v>
      </c>
      <c r="AB17" s="203">
        <f t="shared" si="3"/>
        <v>13</v>
      </c>
      <c r="AC17" s="203">
        <f t="shared" si="3"/>
        <v>13</v>
      </c>
      <c r="AD17" s="203">
        <f t="shared" si="3"/>
        <v>13</v>
      </c>
      <c r="AE17" s="203">
        <f t="shared" si="3"/>
        <v>13</v>
      </c>
      <c r="AF17" s="203">
        <f t="shared" si="3"/>
        <v>13</v>
      </c>
      <c r="AG17" s="203">
        <f t="shared" si="3"/>
        <v>13</v>
      </c>
      <c r="AH17" s="203">
        <f t="shared" si="3"/>
        <v>13</v>
      </c>
      <c r="AI17" s="203">
        <f t="shared" si="3"/>
        <v>14</v>
      </c>
      <c r="AJ17" s="204">
        <f t="shared" si="3"/>
        <v>14</v>
      </c>
      <c r="AK17" s="398"/>
      <c r="AL17" s="114" cm="1">
        <f t="array" ref="AL17">SUM(IF(FREQUENCY(F17:AJ17,F17:AJ17)&gt;0,1))</f>
        <v>6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46082</v>
      </c>
      <c r="G18" s="28">
        <f t="shared" ref="G18:AJ18" si="4">IF(G14,G16,0)</f>
        <v>46083</v>
      </c>
      <c r="H18" s="27">
        <f t="shared" si="4"/>
        <v>46084</v>
      </c>
      <c r="I18" s="27">
        <f t="shared" si="4"/>
        <v>46085</v>
      </c>
      <c r="J18" s="27">
        <f t="shared" si="4"/>
        <v>46086</v>
      </c>
      <c r="K18" s="27">
        <f t="shared" si="4"/>
        <v>46087</v>
      </c>
      <c r="L18" s="27">
        <f t="shared" si="4"/>
        <v>46088</v>
      </c>
      <c r="M18" s="27">
        <f t="shared" si="4"/>
        <v>46089</v>
      </c>
      <c r="N18" s="27">
        <f t="shared" si="4"/>
        <v>46090</v>
      </c>
      <c r="O18" s="27">
        <f t="shared" si="4"/>
        <v>46091</v>
      </c>
      <c r="P18" s="27">
        <f t="shared" si="4"/>
        <v>46092</v>
      </c>
      <c r="Q18" s="27">
        <f t="shared" si="4"/>
        <v>46093</v>
      </c>
      <c r="R18" s="27">
        <f t="shared" si="4"/>
        <v>46094</v>
      </c>
      <c r="S18" s="27">
        <f t="shared" si="4"/>
        <v>46095</v>
      </c>
      <c r="T18" s="27">
        <f t="shared" si="4"/>
        <v>46096</v>
      </c>
      <c r="U18" s="27">
        <f t="shared" si="4"/>
        <v>46097</v>
      </c>
      <c r="V18" s="27">
        <f t="shared" si="4"/>
        <v>46098</v>
      </c>
      <c r="W18" s="27">
        <f t="shared" si="4"/>
        <v>46099</v>
      </c>
      <c r="X18" s="27">
        <f t="shared" si="4"/>
        <v>46100</v>
      </c>
      <c r="Y18" s="27">
        <f t="shared" si="4"/>
        <v>46101</v>
      </c>
      <c r="Z18" s="27">
        <f t="shared" si="4"/>
        <v>46102</v>
      </c>
      <c r="AA18" s="27">
        <f t="shared" si="4"/>
        <v>46103</v>
      </c>
      <c r="AB18" s="27">
        <f t="shared" si="4"/>
        <v>46104</v>
      </c>
      <c r="AC18" s="27">
        <f t="shared" si="4"/>
        <v>46105</v>
      </c>
      <c r="AD18" s="27">
        <f t="shared" si="4"/>
        <v>46106</v>
      </c>
      <c r="AE18" s="27">
        <f t="shared" si="4"/>
        <v>46107</v>
      </c>
      <c r="AF18" s="27">
        <f t="shared" si="4"/>
        <v>46108</v>
      </c>
      <c r="AG18" s="27">
        <f t="shared" si="4"/>
        <v>46109</v>
      </c>
      <c r="AH18" s="27">
        <f t="shared" si="4"/>
        <v>46110</v>
      </c>
      <c r="AI18" s="198">
        <f t="shared" si="4"/>
        <v>46111</v>
      </c>
      <c r="AJ18" s="198">
        <f t="shared" si="4"/>
        <v>46112</v>
      </c>
      <c r="AK18" s="399"/>
      <c r="AL18" s="115">
        <f>_xlfn.DAYS(EOMONTH($F$18,0),$F$18)+1</f>
        <v>31</v>
      </c>
      <c r="AM18" s="287">
        <f>AL19*A_fldSollTagStd</f>
        <v>176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dim.</v>
      </c>
      <c r="G19" s="92" t="str">
        <f>IF(G14=1,TEXT(G$18,H_Label!$B$24&amp;"TTT"),0)</f>
        <v>lun.</v>
      </c>
      <c r="H19" s="92" t="str">
        <f>IF(H14=1,TEXT(H$18,H_Label!$B$24&amp;"TTT"),0)</f>
        <v>mar.</v>
      </c>
      <c r="I19" s="92" t="str">
        <f>IF(I14=1,TEXT(I$18,H_Label!$B$24&amp;"TTT"),0)</f>
        <v>mer.</v>
      </c>
      <c r="J19" s="92" t="str">
        <f>IF(J14=1,TEXT(J$18,H_Label!$B$24&amp;"TTT"),0)</f>
        <v>jeu.</v>
      </c>
      <c r="K19" s="92" t="str">
        <f>IF(K14=1,TEXT(K$18,H_Label!$B$24&amp;"TTT"),0)</f>
        <v>ven.</v>
      </c>
      <c r="L19" s="92" t="str">
        <f>IF(L14=1,TEXT(L$18,H_Label!$B$24&amp;"TTT"),0)</f>
        <v>sam.</v>
      </c>
      <c r="M19" s="92" t="str">
        <f>IF(M14=1,TEXT(M$18,H_Label!$B$24&amp;"TTT"),0)</f>
        <v>dim.</v>
      </c>
      <c r="N19" s="92" t="str">
        <f>IF(N14=1,TEXT(N$18,H_Label!$B$24&amp;"TTT"),0)</f>
        <v>lun.</v>
      </c>
      <c r="O19" s="92" t="str">
        <f>IF(O14=1,TEXT(O$18,H_Label!$B$24&amp;"TTT"),0)</f>
        <v>mar.</v>
      </c>
      <c r="P19" s="92" t="str">
        <f>IF(P14=1,TEXT(P$18,H_Label!$B$24&amp;"TTT"),0)</f>
        <v>mer.</v>
      </c>
      <c r="Q19" s="92" t="str">
        <f>IF(Q14=1,TEXT(Q$18,H_Label!$B$24&amp;"TTT"),0)</f>
        <v>jeu.</v>
      </c>
      <c r="R19" s="92" t="str">
        <f>IF(R14=1,TEXT(R$18,H_Label!$B$24&amp;"TTT"),0)</f>
        <v>ven.</v>
      </c>
      <c r="S19" s="92" t="str">
        <f>IF(S14=1,TEXT(S$18,H_Label!$B$24&amp;"TTT"),0)</f>
        <v>sam.</v>
      </c>
      <c r="T19" s="92" t="str">
        <f>IF(T14=1,TEXT(T$18,H_Label!$B$24&amp;"TTT"),0)</f>
        <v>dim.</v>
      </c>
      <c r="U19" s="92" t="str">
        <f>IF(U14=1,TEXT(U$18,H_Label!$B$24&amp;"TTT"),0)</f>
        <v>lun.</v>
      </c>
      <c r="V19" s="92" t="str">
        <f>IF(V14=1,TEXT(V$18,H_Label!$B$24&amp;"TTT"),0)</f>
        <v>mar.</v>
      </c>
      <c r="W19" s="92" t="str">
        <f>IF(W14=1,TEXT(W$18,H_Label!$B$24&amp;"TTT"),0)</f>
        <v>mer.</v>
      </c>
      <c r="X19" s="92" t="str">
        <f>IF(X14=1,TEXT(X$18,H_Label!$B$24&amp;"TTT"),0)</f>
        <v>jeu.</v>
      </c>
      <c r="Y19" s="92" t="str">
        <f>IF(Y14=1,TEXT(Y$18,H_Label!$B$24&amp;"TTT"),0)</f>
        <v>ven.</v>
      </c>
      <c r="Z19" s="92" t="str">
        <f>IF(Z14=1,TEXT(Z$18,H_Label!$B$24&amp;"TTT"),0)</f>
        <v>sam.</v>
      </c>
      <c r="AA19" s="92" t="str">
        <f>IF(AA14=1,TEXT(AA$18,H_Label!$B$24&amp;"TTT"),0)</f>
        <v>dim.</v>
      </c>
      <c r="AB19" s="92" t="str">
        <f>IF(AB14=1,TEXT(AB$18,H_Label!$B$24&amp;"TTT"),0)</f>
        <v>lun.</v>
      </c>
      <c r="AC19" s="92" t="str">
        <f>IF(AC14=1,TEXT(AC$18,H_Label!$B$24&amp;"TTT"),0)</f>
        <v>mar.</v>
      </c>
      <c r="AD19" s="92" t="str">
        <f>IF(AD14=1,TEXT(AD$18,H_Label!$B$24&amp;"TTT"),0)</f>
        <v>mer.</v>
      </c>
      <c r="AE19" s="92" t="str">
        <f>IF(AE14=1,TEXT(AE$18,H_Label!$B$24&amp;"TTT"),0)</f>
        <v>jeu.</v>
      </c>
      <c r="AF19" s="92" t="str">
        <f>IF(AF14=1,TEXT(AF$18,H_Label!$B$24&amp;"TTT"),0)</f>
        <v>ven.</v>
      </c>
      <c r="AG19" s="92" t="str">
        <f>IF(AG14=1,TEXT(AG$18,H_Label!$B$24&amp;"TTT"),0)</f>
        <v>sam.</v>
      </c>
      <c r="AH19" s="92" t="str">
        <f>IF(AH14=1,TEXT(AH$18,H_Label!$B$24&amp;"TTT"),0)</f>
        <v>dim.</v>
      </c>
      <c r="AI19" s="92" t="str">
        <f>IF(AI14=1,TEXT(AI$18,H_Label!$B$24&amp;"TTT"),0)</f>
        <v>lun.</v>
      </c>
      <c r="AJ19" s="92" t="str">
        <f>IF(AJ14=1,TEXT(AJ$18,H_Label!$B$24&amp;"TTT"),0)</f>
        <v>mar.</v>
      </c>
      <c r="AK19" s="400"/>
      <c r="AL19" s="117">
        <f>NETWORKDAYS($F$18,EOMONTH($F$18,0))</f>
        <v>22</v>
      </c>
      <c r="AM19" s="288">
        <f>SUM(F20:AJ20)</f>
        <v>176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heures théorique</v>
      </c>
      <c r="E20" s="19"/>
      <c r="F20" s="26" cm="1">
        <f t="array" ref="F20">IF(OR(F14=0,F54="x"),0,A_fldSollTagStd*SUMPRODUCT((H_tblBGTage=WEEKDAY(F16,2))*(H_tblBGMnt=M_Monat)*H_tblBG%))</f>
        <v>0</v>
      </c>
      <c r="G20" s="26" cm="1">
        <f t="array" ref="G20">IF(OR(G14=0,G54="x"),0,A_fldSollTagStd*SUMPRODUCT((H_tblBGTage=WEEKDAY(G16,2))*(H_tblBGMnt=M_Monat)*H_tblBG%))</f>
        <v>8</v>
      </c>
      <c r="H20" s="26" cm="1">
        <f t="array" ref="H20">IF(OR(H14=0,H54="x"),0,A_fldSollTagStd*SUMPRODUCT((H_tblBGTage=WEEKDAY(H16,2))*(H_tblBGMnt=M_Monat)*H_tblBG%))</f>
        <v>8</v>
      </c>
      <c r="I20" s="26" cm="1">
        <f t="array" ref="I20">IF(OR(I14=0,I54="x"),0,A_fldSollTagStd*SUMPRODUCT((H_tblBGTage=WEEKDAY(I16,2))*(H_tblBGMnt=M_Monat)*H_tblBG%))</f>
        <v>8</v>
      </c>
      <c r="J20" s="26" cm="1">
        <f t="array" ref="J20">IF(OR(J14=0,J54="x"),0,A_fldSollTagStd*SUMPRODUCT((H_tblBGTage=WEEKDAY(J16,2))*(H_tblBGMnt=M_Monat)*H_tblBG%))</f>
        <v>8</v>
      </c>
      <c r="K20" s="26" cm="1">
        <f t="array" ref="K20">IF(OR(K14=0,K54="x"),0,A_fldSollTagStd*SUMPRODUCT((H_tblBGTage=WEEKDAY(K16,2))*(H_tblBGMnt=M_Monat)*H_tblBG%))</f>
        <v>8</v>
      </c>
      <c r="L20" s="26" cm="1">
        <f t="array" ref="L20">IF(OR(L14=0,L54="x"),0,A_fldSollTagStd*SUMPRODUCT((H_tblBGTage=WEEKDAY(L16,2))*(H_tblBGMnt=M_Monat)*H_tblBG%))</f>
        <v>0</v>
      </c>
      <c r="M20" s="26" cm="1">
        <f t="array" ref="M20">IF(OR(M14=0,M54="x"),0,A_fldSollTagStd*SUMPRODUCT((H_tblBGTage=WEEKDAY(M16,2))*(H_tblBGMnt=M_Monat)*H_tblBG%))</f>
        <v>0</v>
      </c>
      <c r="N20" s="26" cm="1">
        <f t="array" ref="N20">IF(OR(N14=0,N54="x"),0,A_fldSollTagStd*SUMPRODUCT((H_tblBGTage=WEEKDAY(N16,2))*(H_tblBGMnt=M_Monat)*H_tblBG%))</f>
        <v>8</v>
      </c>
      <c r="O20" s="26" cm="1">
        <f t="array" ref="O20">IF(OR(O14=0,O54="x"),0,A_fldSollTagStd*SUMPRODUCT((H_tblBGTage=WEEKDAY(O16,2))*(H_tblBGMnt=M_Monat)*H_tblBG%))</f>
        <v>8</v>
      </c>
      <c r="P20" s="26" cm="1">
        <f t="array" ref="P20">IF(OR(P14=0,P54="x"),0,A_fldSollTagStd*SUMPRODUCT((H_tblBGTage=WEEKDAY(P16,2))*(H_tblBGMnt=M_Monat)*H_tblBG%))</f>
        <v>8</v>
      </c>
      <c r="Q20" s="26" cm="1">
        <f t="array" ref="Q20">IF(OR(Q14=0,Q54="x"),0,A_fldSollTagStd*SUMPRODUCT((H_tblBGTage=WEEKDAY(Q16,2))*(H_tblBGMnt=M_Monat)*H_tblBG%))</f>
        <v>8</v>
      </c>
      <c r="R20" s="26" cm="1">
        <f t="array" ref="R20">IF(OR(R14=0,R54="x"),0,A_fldSollTagStd*SUMPRODUCT((H_tblBGTage=WEEKDAY(R16,2))*(H_tblBGMnt=M_Monat)*H_tblBG%))</f>
        <v>8</v>
      </c>
      <c r="S20" s="26" cm="1">
        <f t="array" ref="S20">IF(OR(S14=0,S54="x"),0,A_fldSollTagStd*SUMPRODUCT((H_tblBGTage=WEEKDAY(S16,2))*(H_tblBGMnt=M_Monat)*H_tblBG%))</f>
        <v>0</v>
      </c>
      <c r="T20" s="26" cm="1">
        <f t="array" ref="T20">IF(OR(T14=0,T54="x"),0,A_fldSollTagStd*SUMPRODUCT((H_tblBGTage=WEEKDAY(T16,2))*(H_tblBGMnt=M_Monat)*H_tblBG%))</f>
        <v>0</v>
      </c>
      <c r="U20" s="26" cm="1">
        <f t="array" ref="U20">IF(OR(U14=0,U54="x"),0,A_fldSollTagStd*SUMPRODUCT((H_tblBGTage=WEEKDAY(U16,2))*(H_tblBGMnt=M_Monat)*H_tblBG%))</f>
        <v>8</v>
      </c>
      <c r="V20" s="26" cm="1">
        <f t="array" ref="V20">IF(OR(V14=0,V54="x"),0,A_fldSollTagStd*SUMPRODUCT((H_tblBGTage=WEEKDAY(V16,2))*(H_tblBGMnt=M_Monat)*H_tblBG%))</f>
        <v>8</v>
      </c>
      <c r="W20" s="26" cm="1">
        <f t="array" ref="W20">IF(OR(W14=0,W54="x"),0,A_fldSollTagStd*SUMPRODUCT((H_tblBGTage=WEEKDAY(W16,2))*(H_tblBGMnt=M_Monat)*H_tblBG%))</f>
        <v>8</v>
      </c>
      <c r="X20" s="26" cm="1">
        <f t="array" ref="X20">IF(OR(X14=0,X54="x"),0,A_fldSollTagStd*SUMPRODUCT((H_tblBGTage=WEEKDAY(X16,2))*(H_tblBGMnt=M_Monat)*H_tblBG%))</f>
        <v>8</v>
      </c>
      <c r="Y20" s="26" cm="1">
        <f t="array" ref="Y20">IF(OR(Y14=0,Y54="x"),0,A_fldSollTagStd*SUMPRODUCT((H_tblBGTage=WEEKDAY(Y16,2))*(H_tblBGMnt=M_Monat)*H_tblBG%))</f>
        <v>8</v>
      </c>
      <c r="Z20" s="26" cm="1">
        <f t="array" ref="Z20">IF(OR(Z14=0,Z54="x"),0,A_fldSollTagStd*SUMPRODUCT((H_tblBGTage=WEEKDAY(Z16,2))*(H_tblBGMnt=M_Monat)*H_tblBG%))</f>
        <v>0</v>
      </c>
      <c r="AA20" s="26" cm="1">
        <f t="array" ref="AA20">IF(OR(AA14=0,AA54="x"),0,A_fldSollTagStd*SUMPRODUCT((H_tblBGTage=WEEKDAY(AA16,2))*(H_tblBGMnt=M_Monat)*H_tblBG%))</f>
        <v>0</v>
      </c>
      <c r="AB20" s="26" cm="1">
        <f t="array" ref="AB20">IF(OR(AB14=0,AB54="x"),0,A_fldSollTagStd*SUMPRODUCT((H_tblBGTage=WEEKDAY(AB16,2))*(H_tblBGMnt=M_Monat)*H_tblBG%))</f>
        <v>8</v>
      </c>
      <c r="AC20" s="26" cm="1">
        <f t="array" ref="AC20">IF(OR(AC14=0,AC54="x"),0,A_fldSollTagStd*SUMPRODUCT((H_tblBGTage=WEEKDAY(AC16,2))*(H_tblBGMnt=M_Monat)*H_tblBG%))</f>
        <v>8</v>
      </c>
      <c r="AD20" s="26" cm="1">
        <f t="array" ref="AD20">IF(OR(AD14=0,AD54="x"),0,A_fldSollTagStd*SUMPRODUCT((H_tblBGTage=WEEKDAY(AD16,2))*(H_tblBGMnt=M_Monat)*H_tblBG%))</f>
        <v>8</v>
      </c>
      <c r="AE20" s="26" cm="1">
        <f t="array" ref="AE20">IF(OR(AE14=0,AE54="x"),0,A_fldSollTagStd*SUMPRODUCT((H_tblBGTage=WEEKDAY(AE16,2))*(H_tblBGMnt=M_Monat)*H_tblBG%))</f>
        <v>8</v>
      </c>
      <c r="AF20" s="26" cm="1">
        <f t="array" ref="AF20">IF(OR(AF14=0,AF54="x"),0,A_fldSollTagStd*SUMPRODUCT((H_tblBGTage=WEEKDAY(AF16,2))*(H_tblBGMnt=M_Monat)*H_tblBG%))</f>
        <v>8</v>
      </c>
      <c r="AG20" s="26" cm="1">
        <f t="array" ref="AG20">IF(OR(AG14=0,AG54="x"),0,A_fldSollTagStd*SUMPRODUCT((H_tblBGTage=WEEKDAY(AG16,2))*(H_tblBGMnt=M_Monat)*H_tblBG%))</f>
        <v>0</v>
      </c>
      <c r="AH20" s="26" cm="1">
        <f t="array" ref="AH20">IF(OR(AH14=0,AH54="x"),0,A_fldSollTagStd*SUMPRODUCT((H_tblBGTage=WEEKDAY(AH16,2))*(H_tblBGMnt=M_Monat)*H_tblBG%))</f>
        <v>0</v>
      </c>
      <c r="AI20" s="199" cm="1">
        <f t="array" ref="AI20">IF(OR(AI14=0,AI54="x"),0,A_fldSollTagStd*SUMPRODUCT((H_tblBGTage=WEEKDAY(AI16,2))*(H_tblBGMnt=M_Monat)*H_tblBG%))</f>
        <v>8</v>
      </c>
      <c r="AJ20" s="199" cm="1">
        <f t="array" ref="AJ20">IF(OR(AJ14=0,AJ54="x"),0,A_fldSollTagStd*SUMPRODUCT((H_tblBGTage=WEEKDAY(AJ16,2))*(H_tblBGMnt=M_Monat)*H_tblBG%))</f>
        <v>8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jours fériés</v>
      </c>
      <c r="E21" s="20"/>
      <c r="F21" s="195" t="str" cm="1">
        <f t="array" ref="F21">INDEX(H_Calendar!$K$10:$K$375,MATCH(1,INDEX((H_Calendar!$E$10:$E$375=M_Monat)*(H_Calendar!$H$10:$H$375=DAY(F$18)),0,1),0))</f>
        <v/>
      </c>
      <c r="G21" s="195" t="str" cm="1">
        <f t="array" ref="G21">INDEX(H_Calendar!$K$10:$K$375,MATCH(1,INDEX((H_Calendar!$E$10:$E$375=M_Monat)*(H_Calendar!$H$10:$H$375=DAY(G$18)),0,1),0))</f>
        <v/>
      </c>
      <c r="H21" s="195" t="str" cm="1">
        <f t="array" ref="H21">INDEX(H_Calendar!$K$10:$K$375,MATCH(1,INDEX((H_Calendar!$E$10:$E$375=M_Monat)*(H_Calendar!$H$10:$H$375=DAY(H$18)),0,1),0))</f>
        <v/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/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/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/>
      </c>
      <c r="AD21" s="195" t="str" cm="1">
        <f t="array" ref="AD21">INDEX(H_Calendar!$K$10:$K$375,MATCH(1,INDEX((H_Calendar!$E$10:$E$375=M_Monat)*(H_Calendar!$H$10:$H$375=DAY(AD$18)),0,1),0))</f>
        <v/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0</v>
      </c>
      <c r="AM21" s="320">
        <f>COUNTIF(F21:AJ21,"ft")</f>
        <v>0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heures productives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thickBot="1" x14ac:dyDescent="0.25">
      <c r="A25" s="252"/>
      <c r="B25" s="438"/>
      <c r="C25" s="252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hidden="1" customHeight="1" x14ac:dyDescent="0.2">
      <c r="A26" s="252"/>
      <c r="B26" s="438"/>
      <c r="C26" s="252">
        <v>4</v>
      </c>
      <c r="D26" s="606" t="str">
        <f>H_Label!B313</f>
        <v>temps de trajet (total)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hidden="1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déduction de temps de trajet = 0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total journalier y c. temp de trajet payé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total hebdomadaire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9" s="143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9" s="144" t="str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avr.</v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crédits et majorations</v>
      </c>
      <c r="E30" s="87"/>
      <c r="F30" s="145" t="str">
        <f>H_Label!B264</f>
        <v>1)  25% majoration temporelle pour depassement les heures maximales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majoration temporelle pour travail de nuit</v>
      </c>
      <c r="Q30" s="145"/>
      <c r="R30" s="145"/>
      <c r="S30" s="145"/>
      <c r="T30" s="145"/>
      <c r="U30" s="145"/>
      <c r="V30" s="145"/>
      <c r="W30" s="145" t="str">
        <f>H_Label!B266</f>
        <v>3) 100% majoration temporelle pour travail du dimanche et jour férié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Majoration  "jf"</v>
      </c>
      <c r="E31" s="23"/>
      <c r="F31" s="24">
        <f t="shared" ref="F31:AG31" si="8">IF(F21="ft",F20,0)</f>
        <v>0</v>
      </c>
      <c r="G31" s="24">
        <f t="shared" si="8"/>
        <v>0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0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0</v>
      </c>
      <c r="AD31" s="24">
        <f t="shared" si="8"/>
        <v>0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0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Majorations temp.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/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>avr.</v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Majorations temp.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Majorations temp.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>
        <f>H_Label!B273</f>
        <v>0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vacances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compensation année passée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42" si="11">SUM(F37:AJ37)</f>
        <v>0</v>
      </c>
      <c r="AM37" s="292">
        <f t="shared" ref="AM37:AM42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compensation année en cours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absences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maladie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accident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absences de grossesse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Congé de maternité/paternité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militaire/promotion/protection civile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ref="AL44:AL50" si="13">SUM(F44:AJ44)</f>
        <v>0</v>
      </c>
      <c r="AM44" s="292">
        <f t="shared" ref="AM44:AM50" si="14">COUNT(F44:AJ44)</f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école professionelle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3"/>
        <v>0</v>
      </c>
      <c r="AM45" s="292">
        <f t="shared" si="14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cours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3"/>
        <v>0</v>
      </c>
      <c r="AM46" s="292">
        <f t="shared" si="14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chômage partiel et intempéries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3"/>
        <v>0</v>
      </c>
      <c r="AM47" s="292">
        <f t="shared" si="14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arrêts définis par l'entreprise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3"/>
        <v>0</v>
      </c>
      <c r="AM48" s="292">
        <f t="shared" si="14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vacances non payées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3"/>
        <v>0</v>
      </c>
      <c r="AM49" s="292">
        <f t="shared" si="14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heures manquantes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3"/>
        <v>0</v>
      </c>
      <c r="AM50" s="292">
        <f t="shared" si="14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heures inproductives totales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5">ROUND(SUM(H39:H48),4)</f>
        <v>0</v>
      </c>
      <c r="I51" s="433">
        <f t="shared" si="15"/>
        <v>0</v>
      </c>
      <c r="J51" s="433">
        <f t="shared" si="15"/>
        <v>0</v>
      </c>
      <c r="K51" s="433">
        <f t="shared" si="15"/>
        <v>0</v>
      </c>
      <c r="L51" s="433">
        <f t="shared" si="15"/>
        <v>0</v>
      </c>
      <c r="M51" s="433">
        <f t="shared" si="15"/>
        <v>0</v>
      </c>
      <c r="N51" s="433">
        <f t="shared" si="15"/>
        <v>0</v>
      </c>
      <c r="O51" s="433">
        <f t="shared" si="15"/>
        <v>0</v>
      </c>
      <c r="P51" s="433">
        <f t="shared" si="15"/>
        <v>0</v>
      </c>
      <c r="Q51" s="433">
        <f t="shared" si="15"/>
        <v>0</v>
      </c>
      <c r="R51" s="433">
        <f t="shared" si="15"/>
        <v>0</v>
      </c>
      <c r="S51" s="433">
        <f t="shared" si="15"/>
        <v>0</v>
      </c>
      <c r="T51" s="433">
        <f t="shared" si="15"/>
        <v>0</v>
      </c>
      <c r="U51" s="433">
        <f t="shared" si="15"/>
        <v>0</v>
      </c>
      <c r="V51" s="433">
        <f t="shared" si="15"/>
        <v>0</v>
      </c>
      <c r="W51" s="433">
        <f t="shared" si="15"/>
        <v>0</v>
      </c>
      <c r="X51" s="433">
        <f t="shared" si="15"/>
        <v>0</v>
      </c>
      <c r="Y51" s="433">
        <f t="shared" si="15"/>
        <v>0</v>
      </c>
      <c r="Z51" s="433">
        <f t="shared" si="15"/>
        <v>0</v>
      </c>
      <c r="AA51" s="433">
        <f t="shared" si="15"/>
        <v>0</v>
      </c>
      <c r="AB51" s="433">
        <f t="shared" si="15"/>
        <v>0</v>
      </c>
      <c r="AC51" s="433">
        <f t="shared" si="15"/>
        <v>0</v>
      </c>
      <c r="AD51" s="433">
        <f t="shared" si="15"/>
        <v>0</v>
      </c>
      <c r="AE51" s="433">
        <f t="shared" si="15"/>
        <v>0</v>
      </c>
      <c r="AF51" s="433">
        <f t="shared" si="15"/>
        <v>0</v>
      </c>
      <c r="AG51" s="433">
        <f t="shared" si="15"/>
        <v>0</v>
      </c>
      <c r="AH51" s="433">
        <f t="shared" si="15"/>
        <v>0</v>
      </c>
      <c r="AI51" s="433">
        <f t="shared" si="15"/>
        <v>0</v>
      </c>
      <c r="AJ51" s="434">
        <f t="shared" si="15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contrôle et corrections</v>
      </c>
      <c r="E52" s="87"/>
      <c r="F52" s="146"/>
      <c r="G52" s="147" t="str">
        <f>H_Label!B292</f>
        <v>veuillez cocher les jours de correction avec "x"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jour de carence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exclure jour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22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corrections manuelles</v>
      </c>
      <c r="E56" s="149"/>
      <c r="F56" s="150" t="str">
        <f>H_Label!B298</f>
        <v>heures payées se année passée</v>
      </c>
      <c r="G56" s="150"/>
      <c r="H56" s="150"/>
      <c r="I56" s="150"/>
      <c r="J56" s="150"/>
      <c r="K56" s="835"/>
      <c r="L56" s="836"/>
      <c r="M56" s="837"/>
      <c r="N56" s="148"/>
      <c r="O56" s="148"/>
      <c r="P56" s="150" t="str">
        <f>H_Label!B299</f>
        <v>heures payées année en cours (heures supplémentaires)</v>
      </c>
      <c r="Q56" s="148"/>
      <c r="R56" s="148"/>
      <c r="S56" s="148"/>
      <c r="T56" s="148"/>
      <c r="U56" s="148"/>
      <c r="V56" s="148"/>
      <c r="W56" s="835"/>
      <c r="X56" s="836"/>
      <c r="Y56" s="837"/>
      <c r="Z56" s="148"/>
      <c r="AA56" s="150"/>
      <c r="AB56" s="148"/>
      <c r="AC56" s="148"/>
      <c r="AD56" s="150" t="str">
        <f>H_Label!B300</f>
        <v>vacances avoir / déduction</v>
      </c>
      <c r="AE56" s="150"/>
      <c r="AF56" s="150"/>
      <c r="AG56" s="150"/>
      <c r="AH56" s="835"/>
      <c r="AI56" s="836"/>
      <c r="AJ56" s="837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remarques</v>
      </c>
      <c r="E58" s="152"/>
      <c r="F58" s="814"/>
      <c r="G58" s="815"/>
      <c r="H58" s="815"/>
      <c r="I58" s="815"/>
      <c r="J58" s="815"/>
      <c r="K58" s="815"/>
      <c r="L58" s="815"/>
      <c r="M58" s="815"/>
      <c r="N58" s="815"/>
      <c r="O58" s="815"/>
      <c r="P58" s="815"/>
      <c r="Q58" s="815"/>
      <c r="R58" s="815"/>
      <c r="S58" s="815"/>
      <c r="T58" s="815"/>
      <c r="U58" s="815"/>
      <c r="V58" s="815"/>
      <c r="W58" s="815"/>
      <c r="X58" s="815"/>
      <c r="Y58" s="815"/>
      <c r="Z58" s="815"/>
      <c r="AA58" s="815"/>
      <c r="AB58" s="815"/>
      <c r="AC58" s="815"/>
      <c r="AD58" s="815"/>
      <c r="AE58" s="815"/>
      <c r="AF58" s="815"/>
      <c r="AG58" s="815"/>
      <c r="AH58" s="815"/>
      <c r="AI58" s="815"/>
      <c r="AJ58" s="816"/>
      <c r="AK58" s="396"/>
    </row>
    <row r="59" spans="1:46" ht="12" customHeight="1" x14ac:dyDescent="0.25">
      <c r="D59" s="153"/>
      <c r="E59" s="153"/>
      <c r="F59" s="817"/>
      <c r="G59" s="818"/>
      <c r="H59" s="818"/>
      <c r="I59" s="818"/>
      <c r="J59" s="818"/>
      <c r="K59" s="818"/>
      <c r="L59" s="818"/>
      <c r="M59" s="818"/>
      <c r="N59" s="818"/>
      <c r="O59" s="818"/>
      <c r="P59" s="818"/>
      <c r="Q59" s="818"/>
      <c r="R59" s="818"/>
      <c r="S59" s="818"/>
      <c r="T59" s="818"/>
      <c r="U59" s="818"/>
      <c r="V59" s="818"/>
      <c r="W59" s="818"/>
      <c r="X59" s="818"/>
      <c r="Y59" s="818"/>
      <c r="Z59" s="818"/>
      <c r="AA59" s="818"/>
      <c r="AB59" s="818"/>
      <c r="AC59" s="818"/>
      <c r="AD59" s="818"/>
      <c r="AE59" s="818"/>
      <c r="AF59" s="818"/>
      <c r="AG59" s="818"/>
      <c r="AH59" s="818"/>
      <c r="AI59" s="818"/>
      <c r="AJ59" s="819"/>
      <c r="AK59" s="396"/>
    </row>
    <row r="60" spans="1:46" ht="12" customHeight="1" x14ac:dyDescent="0.25">
      <c r="D60" s="154"/>
      <c r="E60" s="154"/>
      <c r="F60" s="832"/>
      <c r="G60" s="833"/>
      <c r="H60" s="833"/>
      <c r="I60" s="833"/>
      <c r="J60" s="833"/>
      <c r="K60" s="833"/>
      <c r="L60" s="833"/>
      <c r="M60" s="833"/>
      <c r="N60" s="833"/>
      <c r="O60" s="833"/>
      <c r="P60" s="833"/>
      <c r="Q60" s="833"/>
      <c r="R60" s="833"/>
      <c r="S60" s="833"/>
      <c r="T60" s="833"/>
      <c r="U60" s="833"/>
      <c r="V60" s="833"/>
      <c r="W60" s="833"/>
      <c r="X60" s="833"/>
      <c r="Y60" s="833"/>
      <c r="Z60" s="833"/>
      <c r="AA60" s="833"/>
      <c r="AB60" s="833"/>
      <c r="AC60" s="833"/>
      <c r="AD60" s="833"/>
      <c r="AE60" s="833"/>
      <c r="AF60" s="833"/>
      <c r="AG60" s="833"/>
      <c r="AH60" s="833"/>
      <c r="AI60" s="833"/>
      <c r="AJ60" s="834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J'ai contrôlé les comptes mensuels et vérifié leur exactitude.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09"/>
      <c r="G63" s="809"/>
      <c r="H63" s="809"/>
      <c r="I63" s="809"/>
      <c r="J63" s="809"/>
      <c r="K63" s="809"/>
      <c r="L63" s="809"/>
      <c r="M63" s="809"/>
      <c r="V63" s="809"/>
      <c r="W63" s="809"/>
      <c r="X63" s="809"/>
      <c r="Y63" s="809"/>
      <c r="Z63" s="809"/>
      <c r="AA63" s="809"/>
      <c r="AB63" s="809"/>
      <c r="AC63" s="809"/>
      <c r="AH63" s="809"/>
      <c r="AI63" s="809"/>
      <c r="AJ63" s="809"/>
    </row>
    <row r="64" spans="1:46" ht="15.75" x14ac:dyDescent="0.25">
      <c r="D64" s="156" t="str">
        <f>H_Label!B306</f>
        <v>visa employé</v>
      </c>
      <c r="E64" s="156"/>
      <c r="F64" s="810"/>
      <c r="G64" s="810"/>
      <c r="H64" s="810"/>
      <c r="I64" s="810"/>
      <c r="J64" s="810"/>
      <c r="K64" s="810"/>
      <c r="L64" s="810"/>
      <c r="M64" s="810"/>
      <c r="N64" s="156"/>
      <c r="O64" s="148"/>
      <c r="P64" s="156" t="str">
        <f>H_Label!B307</f>
        <v>visa supérieur hiérarchique</v>
      </c>
      <c r="Q64" s="148"/>
      <c r="R64" s="15"/>
      <c r="S64" s="156"/>
      <c r="T64" s="156"/>
      <c r="U64" s="156"/>
      <c r="V64" s="810"/>
      <c r="W64" s="810"/>
      <c r="X64" s="810"/>
      <c r="Y64" s="810"/>
      <c r="Z64" s="810"/>
      <c r="AA64" s="810"/>
      <c r="AB64" s="810"/>
      <c r="AC64" s="810"/>
      <c r="AD64" s="148"/>
      <c r="AE64" s="15"/>
      <c r="AF64" s="156" t="str">
        <f>H_Label!B308</f>
        <v>date</v>
      </c>
      <c r="AG64" s="15"/>
      <c r="AH64" s="810"/>
      <c r="AI64" s="810"/>
      <c r="AJ64" s="810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8TspLj9ahKuYNvSvI3XRF6vp/Pv4JEGyQ//RDlpHkV59SEdoc2sYnKuFTX03Tlt6zmZGFIYiRoZdZM+X0CEbEg==" saltValue="xRCm6bMcroe94/tPPRyhpQ==" spinCount="100000" sheet="1" objects="1" scenarios="1"/>
  <mergeCells count="23">
    <mergeCell ref="F63:M64"/>
    <mergeCell ref="V63:AC64"/>
    <mergeCell ref="AH63:AJ64"/>
    <mergeCell ref="K56:M56"/>
    <mergeCell ref="W56:Y56"/>
    <mergeCell ref="AH56:AJ56"/>
    <mergeCell ref="F58:AJ58"/>
    <mergeCell ref="F59:AJ59"/>
    <mergeCell ref="F60:AJ60"/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</mergeCells>
  <conditionalFormatting sqref="D37:AJ37">
    <cfRule type="expression" dxfId="188" priority="14">
      <formula>AND(M_Monat&gt;4,M_Monat&lt;10)</formula>
    </cfRule>
    <cfRule type="expression" dxfId="187" priority="15">
      <formula>M_Monat&gt;=10</formula>
    </cfRule>
  </conditionalFormatting>
  <conditionalFormatting sqref="E15:AK15">
    <cfRule type="expression" dxfId="186" priority="9">
      <formula>E$15=2</formula>
    </cfRule>
  </conditionalFormatting>
  <conditionalFormatting sqref="F17:AJ17">
    <cfRule type="expression" dxfId="185" priority="12">
      <formula>OR(AND(DAY(F$16)&lt;&gt;1,WEEKDAY(F$16,2)&lt;&gt;1),F$14=0)</formula>
    </cfRule>
    <cfRule type="expression" dxfId="184" priority="13">
      <formula>OR(F$15=2,AND(F$14=1,WEEKDAY(F$16,2)=7))</formula>
    </cfRule>
  </conditionalFormatting>
  <conditionalFormatting sqref="F18:AJ21 F23:AJ28 F31:AJ31 F33:AJ34 F36:AJ51 F53:AJ54">
    <cfRule type="expression" dxfId="183" priority="17">
      <formula>F$21="ft"</formula>
    </cfRule>
  </conditionalFormatting>
  <conditionalFormatting sqref="F18:AJ21 F23:AJ29 F31:AJ34 F36:AJ51 F53:AJ54">
    <cfRule type="expression" dxfId="182" priority="8">
      <formula>AND(F$14=0,$B18=0)</formula>
    </cfRule>
  </conditionalFormatting>
  <conditionalFormatting sqref="F28:AJ29 F32:AJ32">
    <cfRule type="expression" dxfId="181" priority="10">
      <formula>OR(WEEKDAY(F$16,2)=7,F$15=2)</formula>
    </cfRule>
  </conditionalFormatting>
  <conditionalFormatting sqref="F36:AJ51 F53:AJ54 F18:AJ21 F23:AJ28 F31:AJ31 F33:AJ34">
    <cfRule type="expression" dxfId="180" priority="16">
      <formula>WEEKDAY(F$18,2)=7</formula>
    </cfRule>
    <cfRule type="expression" dxfId="179" priority="18">
      <formula>WEEKDAY(F$18,2)=6</formula>
    </cfRule>
  </conditionalFormatting>
  <conditionalFormatting sqref="F53:AJ54">
    <cfRule type="containsText" dxfId="178" priority="11" operator="containsText" text="x">
      <formula>NOT(ISERROR(SEARCH("x",F53)))</formula>
    </cfRule>
  </conditionalFormatting>
  <conditionalFormatting sqref="J3:L3">
    <cfRule type="expression" dxfId="177" priority="1">
      <formula>B_fldSaldoVJ=0</formula>
    </cfRule>
  </conditionalFormatting>
  <conditionalFormatting sqref="AB3:AD3">
    <cfRule type="expression" dxfId="174" priority="2">
      <formula>H_fldFerienEndSaldo&lt;0</formula>
    </cfRule>
  </conditionalFormatting>
  <conditionalFormatting sqref="AG18:AJ21 AG23:AJ29 AG31:AJ34 AG36:AJ51 AG53:AJ54">
    <cfRule type="expression" dxfId="173" priority="6">
      <formula>AND(AG$14=0,$B18&lt;&gt;0)</formula>
    </cfRule>
    <cfRule type="expression" dxfId="172" priority="7">
      <formula>AG$15=2</formula>
    </cfRule>
  </conditionalFormatting>
  <conditionalFormatting sqref="AJ17:AJ21 AJ23:AJ29 AJ31:AJ34 AJ36:AJ51 AJ53:AJ54">
    <cfRule type="expression" dxfId="171" priority="5">
      <formula>AK$15="m"</formula>
    </cfRule>
  </conditionalFormatting>
  <dataValidations count="11"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0D3E299B-4B82-4403-BF4F-680251215274}">
      <formula1>-4000</formula1>
      <formula2>24</formula2>
    </dataValidation>
    <dataValidation type="custom" operator="greaterThanOrEqual" showErrorMessage="1" errorTitle="Karenztag" error="Zuerst Stunden im Feld &quot;Krankheit&quot; erfassen!" sqref="F53:AJ53" xr:uid="{92AE4D86-53FD-4444-9C1B-568ED47817B2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074520F6-AF89-40E2-8860-78F9FE1F07C4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B8E9A6B7-DB97-4CE0-87E4-D058E9079DAC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7E063407-7C67-4C36-B830-667A086E0891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797DB0F4-5415-4A27-A6E5-E848FE5B07E2}"/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863A0E59-DF79-4873-9B1C-E6DBF68B9635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E48B54CE-4AAD-4188-8707-06FB2E7A28B3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38D75D87-6E85-404A-BFFD-F4DCF4D1F975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232B8FA4-30BA-4E1C-82DC-BFB6789DFA97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9:AK50" xr:uid="{954A91CC-19DC-41E8-96AE-30D012C61544}">
      <formula1>-4000</formula1>
    </dataValidation>
  </dataValidations>
  <hyperlinks>
    <hyperlink ref="AJ12" location="Jahresauswertung!H3" display="." xr:uid="{F9ABDC16-96AB-4A62-8A68-C1142467DEF8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C78CD5F-B6B7-4FF2-93CB-2DED1DED328A}">
            <xm:f>'report annuel'!$X$34=0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223D9A77-3DB6-4458-827D-FAB3B585F671}">
            <xm:f>'report annuel'!$X$34&lt;0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E956F-DA53-47D7-ADF8-2BA3259BA989}">
  <sheetPr codeName="ts04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"/>
      <selection pane="bottomLeft" activeCell="R27" sqref="R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13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13"/>
      <c r="F3" s="550" t="str">
        <f>H_Label!B32</f>
        <v>heures année passée</v>
      </c>
      <c r="G3" s="551"/>
      <c r="H3" s="551"/>
      <c r="I3" s="551"/>
      <c r="J3" s="812" t="str">
        <f>TEXT('report annuel'!$X$34,"0.00")&amp;" / "&amp;TEXT(B_fldSaldoVJ,"0.00")</f>
        <v>0.00 / 0.00</v>
      </c>
      <c r="K3" s="812"/>
      <c r="L3" s="812"/>
      <c r="M3" s="552"/>
      <c r="N3" s="552"/>
      <c r="O3" s="550" t="str">
        <f>H_Label!B33</f>
        <v>heures année en cours</v>
      </c>
      <c r="P3" s="551"/>
      <c r="Q3" s="551"/>
      <c r="R3" s="551"/>
      <c r="S3" s="551"/>
      <c r="T3" s="831">
        <f>'report annuel'!$AD$43</f>
        <v>-2016</v>
      </c>
      <c r="U3" s="831"/>
      <c r="V3" s="831"/>
      <c r="W3" s="552"/>
      <c r="X3" s="552"/>
      <c r="Y3" s="550" t="str">
        <f>H_Label!B34</f>
        <v>se des vacences</v>
      </c>
      <c r="Z3" s="551"/>
      <c r="AA3" s="551"/>
      <c r="AB3" s="812" t="str">
        <f ca="1">TEXT(H_fldFerienEndSaldo,"0.00")&amp;" / "&amp;TEXT(H_fldFerienSaldoKORR,"0.00")</f>
        <v>176.00 / 176.00</v>
      </c>
      <c r="AC3" s="812"/>
      <c r="AD3" s="812"/>
      <c r="AF3" s="148"/>
      <c r="AG3" s="148"/>
      <c r="AH3" s="148"/>
      <c r="AI3" s="148"/>
      <c r="AJ3" s="148"/>
    </row>
    <row r="4" spans="1:46" ht="13.5" customHeight="1" x14ac:dyDescent="0.25">
      <c r="D4" s="813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taux d'occupation réel</v>
      </c>
      <c r="AH5" s="527"/>
      <c r="AI5" s="830">
        <f>AN54</f>
        <v>1</v>
      </c>
      <c r="AJ5" s="830"/>
      <c r="AK5" s="388"/>
    </row>
    <row r="6" spans="1:46" ht="27.95" customHeight="1" x14ac:dyDescent="0.25">
      <c r="D6" s="174" t="str">
        <f>H_Label!$B$221 &amp;" "&amp;TEXT('fiche du personnel'!$U$1,"JJJJ")</f>
        <v>Contrôle des heures de travail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28" t="str">
        <f>'fiche du personnel'!$G$3</f>
        <v>Peinture Exemple SA</v>
      </c>
      <c r="Z6" s="828"/>
      <c r="AA6" s="828"/>
      <c r="AB6" s="828"/>
      <c r="AC6" s="828"/>
      <c r="AD6" s="828"/>
      <c r="AE6" s="828"/>
      <c r="AF6" s="828"/>
      <c r="AG6" s="828"/>
      <c r="AH6" s="828"/>
      <c r="AI6" s="828"/>
      <c r="AJ6" s="829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employé</v>
      </c>
      <c r="E8" s="31"/>
      <c r="F8" s="820" t="str">
        <f>'fiche du personnel'!$G$6</f>
        <v>Martin Dupont</v>
      </c>
      <c r="G8" s="821"/>
      <c r="H8" s="821"/>
      <c r="I8" s="821"/>
      <c r="J8" s="821"/>
      <c r="K8" s="822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occupation (%)</v>
      </c>
      <c r="E9" s="374"/>
      <c r="F9" s="823" cm="1">
        <f t="array" ref="F9">SUMPRODUCT((H_tblBGMnt=M_Monat)*H_tblBGavg)</f>
        <v>100</v>
      </c>
      <c r="G9" s="824"/>
      <c r="H9" s="825" t="str">
        <f>H_Label!B224&amp;" "&amp;D12</f>
        <v>en avril</v>
      </c>
      <c r="I9" s="826"/>
      <c r="J9" s="826"/>
      <c r="K9" s="827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se pour l'année</v>
      </c>
      <c r="E10" s="89"/>
      <c r="F10" s="838">
        <f>DATE(A_Jahr,AM13,1)</f>
        <v>46113</v>
      </c>
      <c r="G10" s="839"/>
      <c r="H10" s="840">
        <f>'report annuel'!AF42</f>
        <v>-2016</v>
      </c>
      <c r="I10" s="841"/>
      <c r="J10" s="841"/>
      <c r="K10" s="842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11" t="s">
        <v>501</v>
      </c>
      <c r="D12" s="494" t="str">
        <f>TEXT($F$10,"MMMM"&amp;H_Label!$B$23)</f>
        <v>avril</v>
      </c>
      <c r="E12" s="375"/>
      <c r="F12" s="843" t="str">
        <f>H_Label!B231</f>
        <v>se mois + / -</v>
      </c>
      <c r="G12" s="844"/>
      <c r="H12" s="844"/>
      <c r="I12" s="845"/>
      <c r="J12" s="846" cm="1">
        <f t="array" ref="J12">INDEX(H_dMNTCurrentSaldo,1,M_Monat)</f>
        <v>-160</v>
      </c>
      <c r="K12" s="847"/>
      <c r="L12" s="157"/>
      <c r="M12" s="158"/>
      <c r="N12" s="202"/>
      <c r="O12" s="159" t="str">
        <f>H_Label!B240</f>
        <v xml:space="preserve"> = </v>
      </c>
      <c r="P12" s="151" t="str">
        <f>H_Label!B241</f>
        <v>seules les cases/champs jaunes sont saisissables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11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4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11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1</v>
      </c>
      <c r="AI14" s="410">
        <f t="shared" si="0"/>
        <v>1</v>
      </c>
      <c r="AJ14" s="411">
        <f t="shared" si="0"/>
        <v>0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11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3</v>
      </c>
      <c r="AH15" s="418">
        <f t="shared" si="1"/>
        <v>3</v>
      </c>
      <c r="AI15" s="418">
        <f t="shared" si="1"/>
        <v>2</v>
      </c>
      <c r="AJ15" s="419">
        <f t="shared" si="1"/>
        <v>1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46113</v>
      </c>
      <c r="G16" s="422">
        <f>F$16+1</f>
        <v>46114</v>
      </c>
      <c r="H16" s="422">
        <f t="shared" ref="H16:AJ16" si="2">G$16+1</f>
        <v>46115</v>
      </c>
      <c r="I16" s="422">
        <f t="shared" si="2"/>
        <v>46116</v>
      </c>
      <c r="J16" s="422">
        <f t="shared" si="2"/>
        <v>46117</v>
      </c>
      <c r="K16" s="422">
        <f t="shared" si="2"/>
        <v>46118</v>
      </c>
      <c r="L16" s="423">
        <f t="shared" si="2"/>
        <v>46119</v>
      </c>
      <c r="M16" s="423">
        <f t="shared" si="2"/>
        <v>46120</v>
      </c>
      <c r="N16" s="424">
        <f t="shared" si="2"/>
        <v>46121</v>
      </c>
      <c r="O16" s="425">
        <f t="shared" si="2"/>
        <v>46122</v>
      </c>
      <c r="P16" s="425">
        <f t="shared" si="2"/>
        <v>46123</v>
      </c>
      <c r="Q16" s="425">
        <f t="shared" si="2"/>
        <v>46124</v>
      </c>
      <c r="R16" s="425">
        <f t="shared" si="2"/>
        <v>46125</v>
      </c>
      <c r="S16" s="425">
        <f t="shared" si="2"/>
        <v>46126</v>
      </c>
      <c r="T16" s="425">
        <f t="shared" si="2"/>
        <v>46127</v>
      </c>
      <c r="U16" s="425">
        <f t="shared" si="2"/>
        <v>46128</v>
      </c>
      <c r="V16" s="425">
        <f t="shared" si="2"/>
        <v>46129</v>
      </c>
      <c r="W16" s="425">
        <f t="shared" si="2"/>
        <v>46130</v>
      </c>
      <c r="X16" s="425">
        <f t="shared" si="2"/>
        <v>46131</v>
      </c>
      <c r="Y16" s="425">
        <f t="shared" si="2"/>
        <v>46132</v>
      </c>
      <c r="Z16" s="425">
        <f t="shared" si="2"/>
        <v>46133</v>
      </c>
      <c r="AA16" s="425">
        <f t="shared" si="2"/>
        <v>46134</v>
      </c>
      <c r="AB16" s="425">
        <f t="shared" si="2"/>
        <v>46135</v>
      </c>
      <c r="AC16" s="425">
        <f t="shared" si="2"/>
        <v>46136</v>
      </c>
      <c r="AD16" s="425">
        <f t="shared" si="2"/>
        <v>46137</v>
      </c>
      <c r="AE16" s="425">
        <f t="shared" si="2"/>
        <v>46138</v>
      </c>
      <c r="AF16" s="426">
        <f t="shared" si="2"/>
        <v>46139</v>
      </c>
      <c r="AG16" s="426">
        <f t="shared" si="2"/>
        <v>46140</v>
      </c>
      <c r="AH16" s="426">
        <f t="shared" si="2"/>
        <v>46141</v>
      </c>
      <c r="AI16" s="426">
        <f t="shared" si="2"/>
        <v>46142</v>
      </c>
      <c r="AJ16" s="427">
        <f t="shared" si="2"/>
        <v>46143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semaine civile</v>
      </c>
      <c r="E17" s="291"/>
      <c r="F17" s="205">
        <f>WEEKNUM(F$16,21)</f>
        <v>14</v>
      </c>
      <c r="G17" s="203">
        <f t="shared" ref="G17:AJ17" si="3">WEEKNUM(G$16,21)</f>
        <v>14</v>
      </c>
      <c r="H17" s="203">
        <f t="shared" si="3"/>
        <v>14</v>
      </c>
      <c r="I17" s="203">
        <f t="shared" si="3"/>
        <v>14</v>
      </c>
      <c r="J17" s="203">
        <f t="shared" si="3"/>
        <v>14</v>
      </c>
      <c r="K17" s="203">
        <f t="shared" si="3"/>
        <v>15</v>
      </c>
      <c r="L17" s="203">
        <f t="shared" si="3"/>
        <v>15</v>
      </c>
      <c r="M17" s="203">
        <f t="shared" si="3"/>
        <v>15</v>
      </c>
      <c r="N17" s="203">
        <f t="shared" si="3"/>
        <v>15</v>
      </c>
      <c r="O17" s="203">
        <f t="shared" si="3"/>
        <v>15</v>
      </c>
      <c r="P17" s="203">
        <f t="shared" si="3"/>
        <v>15</v>
      </c>
      <c r="Q17" s="203">
        <f t="shared" si="3"/>
        <v>15</v>
      </c>
      <c r="R17" s="203">
        <f t="shared" si="3"/>
        <v>16</v>
      </c>
      <c r="S17" s="203">
        <f t="shared" si="3"/>
        <v>16</v>
      </c>
      <c r="T17" s="203">
        <f t="shared" si="3"/>
        <v>16</v>
      </c>
      <c r="U17" s="203">
        <f t="shared" si="3"/>
        <v>16</v>
      </c>
      <c r="V17" s="203">
        <f t="shared" si="3"/>
        <v>16</v>
      </c>
      <c r="W17" s="203">
        <f t="shared" si="3"/>
        <v>16</v>
      </c>
      <c r="X17" s="203">
        <f t="shared" si="3"/>
        <v>16</v>
      </c>
      <c r="Y17" s="203">
        <f t="shared" si="3"/>
        <v>17</v>
      </c>
      <c r="Z17" s="203">
        <f t="shared" si="3"/>
        <v>17</v>
      </c>
      <c r="AA17" s="203">
        <f t="shared" si="3"/>
        <v>17</v>
      </c>
      <c r="AB17" s="203">
        <f t="shared" si="3"/>
        <v>17</v>
      </c>
      <c r="AC17" s="203">
        <f t="shared" si="3"/>
        <v>17</v>
      </c>
      <c r="AD17" s="203">
        <f t="shared" si="3"/>
        <v>17</v>
      </c>
      <c r="AE17" s="203">
        <f t="shared" si="3"/>
        <v>17</v>
      </c>
      <c r="AF17" s="203">
        <f t="shared" si="3"/>
        <v>18</v>
      </c>
      <c r="AG17" s="203">
        <f t="shared" si="3"/>
        <v>18</v>
      </c>
      <c r="AH17" s="203">
        <f t="shared" si="3"/>
        <v>18</v>
      </c>
      <c r="AI17" s="203">
        <f t="shared" si="3"/>
        <v>18</v>
      </c>
      <c r="AJ17" s="204">
        <f t="shared" si="3"/>
        <v>18</v>
      </c>
      <c r="AK17" s="398"/>
      <c r="AL17" s="114" cm="1">
        <f t="array" ref="AL17">SUM(IF(FREQUENCY(F17:AJ17,F17:AJ17)&gt;0,1))</f>
        <v>5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46113</v>
      </c>
      <c r="G18" s="28">
        <f t="shared" ref="G18:AJ18" si="4">IF(G14,G16,0)</f>
        <v>46114</v>
      </c>
      <c r="H18" s="27">
        <f t="shared" si="4"/>
        <v>46115</v>
      </c>
      <c r="I18" s="27">
        <f t="shared" si="4"/>
        <v>46116</v>
      </c>
      <c r="J18" s="27">
        <f t="shared" si="4"/>
        <v>46117</v>
      </c>
      <c r="K18" s="27">
        <f t="shared" si="4"/>
        <v>46118</v>
      </c>
      <c r="L18" s="27">
        <f t="shared" si="4"/>
        <v>46119</v>
      </c>
      <c r="M18" s="27">
        <f t="shared" si="4"/>
        <v>46120</v>
      </c>
      <c r="N18" s="27">
        <f t="shared" si="4"/>
        <v>46121</v>
      </c>
      <c r="O18" s="27">
        <f t="shared" si="4"/>
        <v>46122</v>
      </c>
      <c r="P18" s="27">
        <f t="shared" si="4"/>
        <v>46123</v>
      </c>
      <c r="Q18" s="27">
        <f t="shared" si="4"/>
        <v>46124</v>
      </c>
      <c r="R18" s="27">
        <f t="shared" si="4"/>
        <v>46125</v>
      </c>
      <c r="S18" s="27">
        <f t="shared" si="4"/>
        <v>46126</v>
      </c>
      <c r="T18" s="27">
        <f t="shared" si="4"/>
        <v>46127</v>
      </c>
      <c r="U18" s="27">
        <f t="shared" si="4"/>
        <v>46128</v>
      </c>
      <c r="V18" s="27">
        <f t="shared" si="4"/>
        <v>46129</v>
      </c>
      <c r="W18" s="27">
        <f t="shared" si="4"/>
        <v>46130</v>
      </c>
      <c r="X18" s="27">
        <f t="shared" si="4"/>
        <v>46131</v>
      </c>
      <c r="Y18" s="27">
        <f t="shared" si="4"/>
        <v>46132</v>
      </c>
      <c r="Z18" s="27">
        <f t="shared" si="4"/>
        <v>46133</v>
      </c>
      <c r="AA18" s="27">
        <f t="shared" si="4"/>
        <v>46134</v>
      </c>
      <c r="AB18" s="27">
        <f t="shared" si="4"/>
        <v>46135</v>
      </c>
      <c r="AC18" s="27">
        <f t="shared" si="4"/>
        <v>46136</v>
      </c>
      <c r="AD18" s="27">
        <f t="shared" si="4"/>
        <v>46137</v>
      </c>
      <c r="AE18" s="27">
        <f t="shared" si="4"/>
        <v>46138</v>
      </c>
      <c r="AF18" s="27">
        <f t="shared" si="4"/>
        <v>46139</v>
      </c>
      <c r="AG18" s="27">
        <f t="shared" si="4"/>
        <v>46140</v>
      </c>
      <c r="AH18" s="27">
        <f t="shared" si="4"/>
        <v>46141</v>
      </c>
      <c r="AI18" s="198">
        <f t="shared" si="4"/>
        <v>46142</v>
      </c>
      <c r="AJ18" s="198">
        <f t="shared" si="4"/>
        <v>0</v>
      </c>
      <c r="AK18" s="399"/>
      <c r="AL18" s="115">
        <f>_xlfn.DAYS(EOMONTH($F$18,0),$F$18)+1</f>
        <v>30</v>
      </c>
      <c r="AM18" s="287">
        <f>AL19*A_fldSollTagStd</f>
        <v>176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mer.</v>
      </c>
      <c r="G19" s="92" t="str">
        <f>IF(G14=1,TEXT(G$18,H_Label!$B$24&amp;"TTT"),0)</f>
        <v>jeu.</v>
      </c>
      <c r="H19" s="92" t="str">
        <f>IF(H14=1,TEXT(H$18,H_Label!$B$24&amp;"TTT"),0)</f>
        <v>ven.</v>
      </c>
      <c r="I19" s="92" t="str">
        <f>IF(I14=1,TEXT(I$18,H_Label!$B$24&amp;"TTT"),0)</f>
        <v>sam.</v>
      </c>
      <c r="J19" s="92" t="str">
        <f>IF(J14=1,TEXT(J$18,H_Label!$B$24&amp;"TTT"),0)</f>
        <v>dim.</v>
      </c>
      <c r="K19" s="92" t="str">
        <f>IF(K14=1,TEXT(K$18,H_Label!$B$24&amp;"TTT"),0)</f>
        <v>lun.</v>
      </c>
      <c r="L19" s="92" t="str">
        <f>IF(L14=1,TEXT(L$18,H_Label!$B$24&amp;"TTT"),0)</f>
        <v>mar.</v>
      </c>
      <c r="M19" s="92" t="str">
        <f>IF(M14=1,TEXT(M$18,H_Label!$B$24&amp;"TTT"),0)</f>
        <v>mer.</v>
      </c>
      <c r="N19" s="92" t="str">
        <f>IF(N14=1,TEXT(N$18,H_Label!$B$24&amp;"TTT"),0)</f>
        <v>jeu.</v>
      </c>
      <c r="O19" s="92" t="str">
        <f>IF(O14=1,TEXT(O$18,H_Label!$B$24&amp;"TTT"),0)</f>
        <v>ven.</v>
      </c>
      <c r="P19" s="92" t="str">
        <f>IF(P14=1,TEXT(P$18,H_Label!$B$24&amp;"TTT"),0)</f>
        <v>sam.</v>
      </c>
      <c r="Q19" s="92" t="str">
        <f>IF(Q14=1,TEXT(Q$18,H_Label!$B$24&amp;"TTT"),0)</f>
        <v>dim.</v>
      </c>
      <c r="R19" s="92" t="str">
        <f>IF(R14=1,TEXT(R$18,H_Label!$B$24&amp;"TTT"),0)</f>
        <v>lun.</v>
      </c>
      <c r="S19" s="92" t="str">
        <f>IF(S14=1,TEXT(S$18,H_Label!$B$24&amp;"TTT"),0)</f>
        <v>mar.</v>
      </c>
      <c r="T19" s="92" t="str">
        <f>IF(T14=1,TEXT(T$18,H_Label!$B$24&amp;"TTT"),0)</f>
        <v>mer.</v>
      </c>
      <c r="U19" s="92" t="str">
        <f>IF(U14=1,TEXT(U$18,H_Label!$B$24&amp;"TTT"),0)</f>
        <v>jeu.</v>
      </c>
      <c r="V19" s="92" t="str">
        <f>IF(V14=1,TEXT(V$18,H_Label!$B$24&amp;"TTT"),0)</f>
        <v>ven.</v>
      </c>
      <c r="W19" s="92" t="str">
        <f>IF(W14=1,TEXT(W$18,H_Label!$B$24&amp;"TTT"),0)</f>
        <v>sam.</v>
      </c>
      <c r="X19" s="92" t="str">
        <f>IF(X14=1,TEXT(X$18,H_Label!$B$24&amp;"TTT"),0)</f>
        <v>dim.</v>
      </c>
      <c r="Y19" s="92" t="str">
        <f>IF(Y14=1,TEXT(Y$18,H_Label!$B$24&amp;"TTT"),0)</f>
        <v>lun.</v>
      </c>
      <c r="Z19" s="92" t="str">
        <f>IF(Z14=1,TEXT(Z$18,H_Label!$B$24&amp;"TTT"),0)</f>
        <v>mar.</v>
      </c>
      <c r="AA19" s="92" t="str">
        <f>IF(AA14=1,TEXT(AA$18,H_Label!$B$24&amp;"TTT"),0)</f>
        <v>mer.</v>
      </c>
      <c r="AB19" s="92" t="str">
        <f>IF(AB14=1,TEXT(AB$18,H_Label!$B$24&amp;"TTT"),0)</f>
        <v>jeu.</v>
      </c>
      <c r="AC19" s="92" t="str">
        <f>IF(AC14=1,TEXT(AC$18,H_Label!$B$24&amp;"TTT"),0)</f>
        <v>ven.</v>
      </c>
      <c r="AD19" s="92" t="str">
        <f>IF(AD14=1,TEXT(AD$18,H_Label!$B$24&amp;"TTT"),0)</f>
        <v>sam.</v>
      </c>
      <c r="AE19" s="92" t="str">
        <f>IF(AE14=1,TEXT(AE$18,H_Label!$B$24&amp;"TTT"),0)</f>
        <v>dim.</v>
      </c>
      <c r="AF19" s="92" t="str">
        <f>IF(AF14=1,TEXT(AF$18,H_Label!$B$24&amp;"TTT"),0)</f>
        <v>lun.</v>
      </c>
      <c r="AG19" s="92" t="str">
        <f>IF(AG14=1,TEXT(AG$18,H_Label!$B$24&amp;"TTT"),0)</f>
        <v>mar.</v>
      </c>
      <c r="AH19" s="92" t="str">
        <f>IF(AH14=1,TEXT(AH$18,H_Label!$B$24&amp;"TTT"),0)</f>
        <v>mer.</v>
      </c>
      <c r="AI19" s="92" t="str">
        <f>IF(AI14=1,TEXT(AI$18,H_Label!$B$24&amp;"TTT"),0)</f>
        <v>jeu.</v>
      </c>
      <c r="AJ19" s="92">
        <f>IF(AJ14=1,TEXT(AJ$18,H_Label!$B$24&amp;"TTT"),0)</f>
        <v>0</v>
      </c>
      <c r="AK19" s="400"/>
      <c r="AL19" s="117">
        <f>NETWORKDAYS($F$18,EOMONTH($F$18,0))</f>
        <v>22</v>
      </c>
      <c r="AM19" s="288">
        <f>SUM(F20:AJ20)</f>
        <v>176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heures théorique</v>
      </c>
      <c r="E20" s="19"/>
      <c r="F20" s="26" cm="1">
        <f t="array" ref="F20">IF(OR(F14=0,F54="x"),0,A_fldSollTagStd*SUMPRODUCT((H_tblBGTage=WEEKDAY(F16,2))*(H_tblBGMnt=M_Monat)*H_tblBG%))</f>
        <v>8</v>
      </c>
      <c r="G20" s="26" cm="1">
        <f t="array" ref="G20">IF(OR(G14=0,G54="x"),0,A_fldSollTagStd*SUMPRODUCT((H_tblBGTage=WEEKDAY(G16,2))*(H_tblBGMnt=M_Monat)*H_tblBG%))</f>
        <v>8</v>
      </c>
      <c r="H20" s="26" cm="1">
        <f t="array" ref="H20">IF(OR(H14=0,H54="x"),0,A_fldSollTagStd*SUMPRODUCT((H_tblBGTage=WEEKDAY(H16,2))*(H_tblBGMnt=M_Monat)*H_tblBG%))</f>
        <v>8</v>
      </c>
      <c r="I20" s="26" cm="1">
        <f t="array" ref="I20">IF(OR(I14=0,I54="x"),0,A_fldSollTagStd*SUMPRODUCT((H_tblBGTage=WEEKDAY(I16,2))*(H_tblBGMnt=M_Monat)*H_tblBG%))</f>
        <v>0</v>
      </c>
      <c r="J20" s="26" cm="1">
        <f t="array" ref="J20">IF(OR(J14=0,J54="x"),0,A_fldSollTagStd*SUMPRODUCT((H_tblBGTage=WEEKDAY(J16,2))*(H_tblBGMnt=M_Monat)*H_tblBG%))</f>
        <v>0</v>
      </c>
      <c r="K20" s="26" cm="1">
        <f t="array" ref="K20">IF(OR(K14=0,K54="x"),0,A_fldSollTagStd*SUMPRODUCT((H_tblBGTage=WEEKDAY(K16,2))*(H_tblBGMnt=M_Monat)*H_tblBG%))</f>
        <v>8</v>
      </c>
      <c r="L20" s="26" cm="1">
        <f t="array" ref="L20">IF(OR(L14=0,L54="x"),0,A_fldSollTagStd*SUMPRODUCT((H_tblBGTage=WEEKDAY(L16,2))*(H_tblBGMnt=M_Monat)*H_tblBG%))</f>
        <v>8</v>
      </c>
      <c r="M20" s="26" cm="1">
        <f t="array" ref="M20">IF(OR(M14=0,M54="x"),0,A_fldSollTagStd*SUMPRODUCT((H_tblBGTage=WEEKDAY(M16,2))*(H_tblBGMnt=M_Monat)*H_tblBG%))</f>
        <v>8</v>
      </c>
      <c r="N20" s="26" cm="1">
        <f t="array" ref="N20">IF(OR(N14=0,N54="x"),0,A_fldSollTagStd*SUMPRODUCT((H_tblBGTage=WEEKDAY(N16,2))*(H_tblBGMnt=M_Monat)*H_tblBG%))</f>
        <v>8</v>
      </c>
      <c r="O20" s="26" cm="1">
        <f t="array" ref="O20">IF(OR(O14=0,O54="x"),0,A_fldSollTagStd*SUMPRODUCT((H_tblBGTage=WEEKDAY(O16,2))*(H_tblBGMnt=M_Monat)*H_tblBG%))</f>
        <v>8</v>
      </c>
      <c r="P20" s="26" cm="1">
        <f t="array" ref="P20">IF(OR(P14=0,P54="x"),0,A_fldSollTagStd*SUMPRODUCT((H_tblBGTage=WEEKDAY(P16,2))*(H_tblBGMnt=M_Monat)*H_tblBG%))</f>
        <v>0</v>
      </c>
      <c r="Q20" s="26" cm="1">
        <f t="array" ref="Q20">IF(OR(Q14=0,Q54="x"),0,A_fldSollTagStd*SUMPRODUCT((H_tblBGTage=WEEKDAY(Q16,2))*(H_tblBGMnt=M_Monat)*H_tblBG%))</f>
        <v>0</v>
      </c>
      <c r="R20" s="26" cm="1">
        <f t="array" ref="R20">IF(OR(R14=0,R54="x"),0,A_fldSollTagStd*SUMPRODUCT((H_tblBGTage=WEEKDAY(R16,2))*(H_tblBGMnt=M_Monat)*H_tblBG%))</f>
        <v>8</v>
      </c>
      <c r="S20" s="26" cm="1">
        <f t="array" ref="S20">IF(OR(S14=0,S54="x"),0,A_fldSollTagStd*SUMPRODUCT((H_tblBGTage=WEEKDAY(S16,2))*(H_tblBGMnt=M_Monat)*H_tblBG%))</f>
        <v>8</v>
      </c>
      <c r="T20" s="26" cm="1">
        <f t="array" ref="T20">IF(OR(T14=0,T54="x"),0,A_fldSollTagStd*SUMPRODUCT((H_tblBGTage=WEEKDAY(T16,2))*(H_tblBGMnt=M_Monat)*H_tblBG%))</f>
        <v>8</v>
      </c>
      <c r="U20" s="26" cm="1">
        <f t="array" ref="U20">IF(OR(U14=0,U54="x"),0,A_fldSollTagStd*SUMPRODUCT((H_tblBGTage=WEEKDAY(U16,2))*(H_tblBGMnt=M_Monat)*H_tblBG%))</f>
        <v>8</v>
      </c>
      <c r="V20" s="26" cm="1">
        <f t="array" ref="V20">IF(OR(V14=0,V54="x"),0,A_fldSollTagStd*SUMPRODUCT((H_tblBGTage=WEEKDAY(V16,2))*(H_tblBGMnt=M_Monat)*H_tblBG%))</f>
        <v>8</v>
      </c>
      <c r="W20" s="26" cm="1">
        <f t="array" ref="W20">IF(OR(W14=0,W54="x"),0,A_fldSollTagStd*SUMPRODUCT((H_tblBGTage=WEEKDAY(W16,2))*(H_tblBGMnt=M_Monat)*H_tblBG%))</f>
        <v>0</v>
      </c>
      <c r="X20" s="26" cm="1">
        <f t="array" ref="X20">IF(OR(X14=0,X54="x"),0,A_fldSollTagStd*SUMPRODUCT((H_tblBGTage=WEEKDAY(X16,2))*(H_tblBGMnt=M_Monat)*H_tblBG%))</f>
        <v>0</v>
      </c>
      <c r="Y20" s="26" cm="1">
        <f t="array" ref="Y20">IF(OR(Y14=0,Y54="x"),0,A_fldSollTagStd*SUMPRODUCT((H_tblBGTage=WEEKDAY(Y16,2))*(H_tblBGMnt=M_Monat)*H_tblBG%))</f>
        <v>8</v>
      </c>
      <c r="Z20" s="26" cm="1">
        <f t="array" ref="Z20">IF(OR(Z14=0,Z54="x"),0,A_fldSollTagStd*SUMPRODUCT((H_tblBGTage=WEEKDAY(Z16,2))*(H_tblBGMnt=M_Monat)*H_tblBG%))</f>
        <v>8</v>
      </c>
      <c r="AA20" s="26" cm="1">
        <f t="array" ref="AA20">IF(OR(AA14=0,AA54="x"),0,A_fldSollTagStd*SUMPRODUCT((H_tblBGTage=WEEKDAY(AA16,2))*(H_tblBGMnt=M_Monat)*H_tblBG%))</f>
        <v>8</v>
      </c>
      <c r="AB20" s="26" cm="1">
        <f t="array" ref="AB20">IF(OR(AB14=0,AB54="x"),0,A_fldSollTagStd*SUMPRODUCT((H_tblBGTage=WEEKDAY(AB16,2))*(H_tblBGMnt=M_Monat)*H_tblBG%))</f>
        <v>8</v>
      </c>
      <c r="AC20" s="26" cm="1">
        <f t="array" ref="AC20">IF(OR(AC14=0,AC54="x"),0,A_fldSollTagStd*SUMPRODUCT((H_tblBGTage=WEEKDAY(AC16,2))*(H_tblBGMnt=M_Monat)*H_tblBG%))</f>
        <v>8</v>
      </c>
      <c r="AD20" s="26" cm="1">
        <f t="array" ref="AD20">IF(OR(AD14=0,AD54="x"),0,A_fldSollTagStd*SUMPRODUCT((H_tblBGTage=WEEKDAY(AD16,2))*(H_tblBGMnt=M_Monat)*H_tblBG%))</f>
        <v>0</v>
      </c>
      <c r="AE20" s="26" cm="1">
        <f t="array" ref="AE20">IF(OR(AE14=0,AE54="x"),0,A_fldSollTagStd*SUMPRODUCT((H_tblBGTage=WEEKDAY(AE16,2))*(H_tblBGMnt=M_Monat)*H_tblBG%))</f>
        <v>0</v>
      </c>
      <c r="AF20" s="26" cm="1">
        <f t="array" ref="AF20">IF(OR(AF14=0,AF54="x"),0,A_fldSollTagStd*SUMPRODUCT((H_tblBGTage=WEEKDAY(AF16,2))*(H_tblBGMnt=M_Monat)*H_tblBG%))</f>
        <v>8</v>
      </c>
      <c r="AG20" s="26" cm="1">
        <f t="array" ref="AG20">IF(OR(AG14=0,AG54="x"),0,A_fldSollTagStd*SUMPRODUCT((H_tblBGTage=WEEKDAY(AG16,2))*(H_tblBGMnt=M_Monat)*H_tblBG%))</f>
        <v>8</v>
      </c>
      <c r="AH20" s="26" cm="1">
        <f t="array" ref="AH20">IF(OR(AH14=0,AH54="x"),0,A_fldSollTagStd*SUMPRODUCT((H_tblBGTage=WEEKDAY(AH16,2))*(H_tblBGMnt=M_Monat)*H_tblBG%))</f>
        <v>8</v>
      </c>
      <c r="AI20" s="199" cm="1">
        <f t="array" ref="AI20">IF(OR(AI14=0,AI54="x"),0,A_fldSollTagStd*SUMPRODUCT((H_tblBGTage=WEEKDAY(AI16,2))*(H_tblBGMnt=M_Monat)*H_tblBG%))</f>
        <v>8</v>
      </c>
      <c r="AJ20" s="199" cm="1">
        <f t="array" ref="AJ20">IF(OR(AJ14=0,AJ54="x"),0,A_fldSollTagStd*SUMPRODUCT((H_tblBGTage=WEEKDAY(AJ16,2))*(H_tblBGMnt=M_Monat)*H_tblBG%))</f>
        <v>0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jours fériés</v>
      </c>
      <c r="E21" s="20"/>
      <c r="F21" s="195" t="str" cm="1">
        <f t="array" ref="F21">INDEX(H_Calendar!$K$10:$K$375,MATCH(1,INDEX((H_Calendar!$E$10:$E$375=M_Monat)*(H_Calendar!$H$10:$H$375=DAY(F$18)),0,1),0))</f>
        <v/>
      </c>
      <c r="G21" s="195" t="str" cm="1">
        <f t="array" ref="G21">INDEX(H_Calendar!$K$10:$K$375,MATCH(1,INDEX((H_Calendar!$E$10:$E$375=M_Monat)*(H_Calendar!$H$10:$H$375=DAY(G$18)),0,1),0))</f>
        <v/>
      </c>
      <c r="H21" s="195" t="str" cm="1">
        <f t="array" ref="H21">INDEX(H_Calendar!$K$10:$K$375,MATCH(1,INDEX((H_Calendar!$E$10:$E$375=M_Monat)*(H_Calendar!$H$10:$H$375=DAY(H$18)),0,1),0))</f>
        <v>ft</v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>ft</v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/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/>
      </c>
      <c r="AD21" s="195" t="str" cm="1">
        <f t="array" ref="AD21">INDEX(H_Calendar!$K$10:$K$375,MATCH(1,INDEX((H_Calendar!$E$10:$E$375=M_Monat)*(H_Calendar!$H$10:$H$375=DAY(AD$18)),0,1),0))</f>
        <v/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16</v>
      </c>
      <c r="AM21" s="320">
        <f>COUNTIF(F21:AJ21,"ft")</f>
        <v>2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heures productives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x14ac:dyDescent="0.2">
      <c r="A25" s="252"/>
      <c r="B25" s="438"/>
      <c r="C25" s="252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customHeight="1" x14ac:dyDescent="0.2">
      <c r="A26" s="252"/>
      <c r="B26" s="438"/>
      <c r="C26" s="252">
        <v>4</v>
      </c>
      <c r="D26" s="606" t="str">
        <f>H_Label!B313</f>
        <v>temps de trajet (total)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déduction de temps de trajet = 0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total journalier y c. temp de trajet payé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total hebdomadaire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9" s="143" t="str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mai</v>
      </c>
      <c r="AJ29" s="144" t="str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/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crédits et majorations</v>
      </c>
      <c r="E30" s="87"/>
      <c r="F30" s="145" t="str">
        <f>H_Label!B264</f>
        <v>1)  25% majoration temporelle pour depassement les heures maximales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majoration temporelle pour travail de nuit</v>
      </c>
      <c r="Q30" s="145"/>
      <c r="R30" s="145"/>
      <c r="S30" s="145"/>
      <c r="T30" s="145"/>
      <c r="U30" s="145"/>
      <c r="V30" s="145"/>
      <c r="W30" s="145" t="str">
        <f>H_Label!B266</f>
        <v>3) 100% majoration temporelle pour travail du dimanche et jour férié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Majoration  "jf"</v>
      </c>
      <c r="E31" s="23"/>
      <c r="F31" s="24">
        <f t="shared" ref="F31:AG31" si="8">IF(F21="ft",F20,0)</f>
        <v>0</v>
      </c>
      <c r="G31" s="24">
        <f t="shared" si="8"/>
        <v>0</v>
      </c>
      <c r="H31" s="24">
        <f t="shared" si="8"/>
        <v>8</v>
      </c>
      <c r="I31" s="24">
        <f t="shared" si="8"/>
        <v>0</v>
      </c>
      <c r="J31" s="24">
        <f t="shared" si="8"/>
        <v>0</v>
      </c>
      <c r="K31" s="24">
        <f t="shared" si="8"/>
        <v>8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0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0</v>
      </c>
      <c r="AD31" s="24">
        <f t="shared" si="8"/>
        <v>0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16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Majorations temp.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>mai</v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/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Majorations temp.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Majorations temp.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>
        <f>H_Label!B273</f>
        <v>0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vacances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compensation année passée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42" si="11">SUM(F37:AJ37)</f>
        <v>0</v>
      </c>
      <c r="AM37" s="292">
        <f t="shared" ref="AM37:AM42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compensation année en cours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absences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maladie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accident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absences de grossesse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Congé de maternité/paternité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militaire/promotion/protection civile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ref="AL44:AL50" si="13">SUM(F44:AJ44)</f>
        <v>0</v>
      </c>
      <c r="AM44" s="292">
        <f t="shared" ref="AM44:AM50" si="14">COUNT(F44:AJ44)</f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école professionelle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3"/>
        <v>0</v>
      </c>
      <c r="AM45" s="292">
        <f t="shared" si="14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cours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3"/>
        <v>0</v>
      </c>
      <c r="AM46" s="292">
        <f t="shared" si="14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chômage partiel et intempéries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3"/>
        <v>0</v>
      </c>
      <c r="AM47" s="292">
        <f t="shared" si="14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arrêts définis par l'entreprise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3"/>
        <v>0</v>
      </c>
      <c r="AM48" s="292">
        <f t="shared" si="14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vacances non payées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3"/>
        <v>0</v>
      </c>
      <c r="AM49" s="292">
        <f t="shared" si="14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heures manquantes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3"/>
        <v>0</v>
      </c>
      <c r="AM50" s="292">
        <f t="shared" si="14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heures inproductives totales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5">ROUND(SUM(H39:H48),4)</f>
        <v>0</v>
      </c>
      <c r="I51" s="433">
        <f t="shared" si="15"/>
        <v>0</v>
      </c>
      <c r="J51" s="433">
        <f t="shared" si="15"/>
        <v>0</v>
      </c>
      <c r="K51" s="433">
        <f t="shared" si="15"/>
        <v>0</v>
      </c>
      <c r="L51" s="433">
        <f t="shared" si="15"/>
        <v>0</v>
      </c>
      <c r="M51" s="433">
        <f t="shared" si="15"/>
        <v>0</v>
      </c>
      <c r="N51" s="433">
        <f t="shared" si="15"/>
        <v>0</v>
      </c>
      <c r="O51" s="433">
        <f t="shared" si="15"/>
        <v>0</v>
      </c>
      <c r="P51" s="433">
        <f t="shared" si="15"/>
        <v>0</v>
      </c>
      <c r="Q51" s="433">
        <f t="shared" si="15"/>
        <v>0</v>
      </c>
      <c r="R51" s="433">
        <f t="shared" si="15"/>
        <v>0</v>
      </c>
      <c r="S51" s="433">
        <f t="shared" si="15"/>
        <v>0</v>
      </c>
      <c r="T51" s="433">
        <f t="shared" si="15"/>
        <v>0</v>
      </c>
      <c r="U51" s="433">
        <f t="shared" si="15"/>
        <v>0</v>
      </c>
      <c r="V51" s="433">
        <f t="shared" si="15"/>
        <v>0</v>
      </c>
      <c r="W51" s="433">
        <f t="shared" si="15"/>
        <v>0</v>
      </c>
      <c r="X51" s="433">
        <f t="shared" si="15"/>
        <v>0</v>
      </c>
      <c r="Y51" s="433">
        <f t="shared" si="15"/>
        <v>0</v>
      </c>
      <c r="Z51" s="433">
        <f t="shared" si="15"/>
        <v>0</v>
      </c>
      <c r="AA51" s="433">
        <f t="shared" si="15"/>
        <v>0</v>
      </c>
      <c r="AB51" s="433">
        <f t="shared" si="15"/>
        <v>0</v>
      </c>
      <c r="AC51" s="433">
        <f t="shared" si="15"/>
        <v>0</v>
      </c>
      <c r="AD51" s="433">
        <f t="shared" si="15"/>
        <v>0</v>
      </c>
      <c r="AE51" s="433">
        <f t="shared" si="15"/>
        <v>0</v>
      </c>
      <c r="AF51" s="433">
        <f t="shared" si="15"/>
        <v>0</v>
      </c>
      <c r="AG51" s="433">
        <f t="shared" si="15"/>
        <v>0</v>
      </c>
      <c r="AH51" s="433">
        <f t="shared" si="15"/>
        <v>0</v>
      </c>
      <c r="AI51" s="433">
        <f t="shared" si="15"/>
        <v>0</v>
      </c>
      <c r="AJ51" s="434">
        <f t="shared" si="15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contrôle et corrections</v>
      </c>
      <c r="E52" s="87"/>
      <c r="F52" s="146"/>
      <c r="G52" s="147" t="str">
        <f>H_Label!B292</f>
        <v>veuillez cocher les jours de correction avec "x"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jour de carence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exclure jour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22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corrections manuelles</v>
      </c>
      <c r="E56" s="149"/>
      <c r="F56" s="150" t="str">
        <f>H_Label!B298</f>
        <v>heures payées se année passée</v>
      </c>
      <c r="G56" s="150"/>
      <c r="H56" s="150"/>
      <c r="I56" s="150"/>
      <c r="J56" s="150"/>
      <c r="K56" s="835"/>
      <c r="L56" s="836"/>
      <c r="M56" s="837"/>
      <c r="N56" s="148"/>
      <c r="O56" s="148"/>
      <c r="P56" s="150" t="str">
        <f>H_Label!B299</f>
        <v>heures payées année en cours (heures supplémentaires)</v>
      </c>
      <c r="Q56" s="148"/>
      <c r="R56" s="148"/>
      <c r="S56" s="148"/>
      <c r="T56" s="148"/>
      <c r="U56" s="148"/>
      <c r="V56" s="148"/>
      <c r="W56" s="835"/>
      <c r="X56" s="836"/>
      <c r="Y56" s="837"/>
      <c r="Z56" s="148"/>
      <c r="AA56" s="150"/>
      <c r="AB56" s="148"/>
      <c r="AC56" s="148"/>
      <c r="AD56" s="150" t="str">
        <f>H_Label!B300</f>
        <v>vacances avoir / déduction</v>
      </c>
      <c r="AE56" s="150"/>
      <c r="AF56" s="150"/>
      <c r="AG56" s="150"/>
      <c r="AH56" s="835"/>
      <c r="AI56" s="836"/>
      <c r="AJ56" s="837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remarques</v>
      </c>
      <c r="E58" s="152"/>
      <c r="F58" s="814"/>
      <c r="G58" s="815"/>
      <c r="H58" s="815"/>
      <c r="I58" s="815"/>
      <c r="J58" s="815"/>
      <c r="K58" s="815"/>
      <c r="L58" s="815"/>
      <c r="M58" s="815"/>
      <c r="N58" s="815"/>
      <c r="O58" s="815"/>
      <c r="P58" s="815"/>
      <c r="Q58" s="815"/>
      <c r="R58" s="815"/>
      <c r="S58" s="815"/>
      <c r="T58" s="815"/>
      <c r="U58" s="815"/>
      <c r="V58" s="815"/>
      <c r="W58" s="815"/>
      <c r="X58" s="815"/>
      <c r="Y58" s="815"/>
      <c r="Z58" s="815"/>
      <c r="AA58" s="815"/>
      <c r="AB58" s="815"/>
      <c r="AC58" s="815"/>
      <c r="AD58" s="815"/>
      <c r="AE58" s="815"/>
      <c r="AF58" s="815"/>
      <c r="AG58" s="815"/>
      <c r="AH58" s="815"/>
      <c r="AI58" s="815"/>
      <c r="AJ58" s="816"/>
      <c r="AK58" s="396"/>
    </row>
    <row r="59" spans="1:46" ht="12" customHeight="1" x14ac:dyDescent="0.25">
      <c r="D59" s="153"/>
      <c r="E59" s="153"/>
      <c r="F59" s="817"/>
      <c r="G59" s="818"/>
      <c r="H59" s="818"/>
      <c r="I59" s="818"/>
      <c r="J59" s="818"/>
      <c r="K59" s="818"/>
      <c r="L59" s="818"/>
      <c r="M59" s="818"/>
      <c r="N59" s="818"/>
      <c r="O59" s="818"/>
      <c r="P59" s="818"/>
      <c r="Q59" s="818"/>
      <c r="R59" s="818"/>
      <c r="S59" s="818"/>
      <c r="T59" s="818"/>
      <c r="U59" s="818"/>
      <c r="V59" s="818"/>
      <c r="W59" s="818"/>
      <c r="X59" s="818"/>
      <c r="Y59" s="818"/>
      <c r="Z59" s="818"/>
      <c r="AA59" s="818"/>
      <c r="AB59" s="818"/>
      <c r="AC59" s="818"/>
      <c r="AD59" s="818"/>
      <c r="AE59" s="818"/>
      <c r="AF59" s="818"/>
      <c r="AG59" s="818"/>
      <c r="AH59" s="818"/>
      <c r="AI59" s="818"/>
      <c r="AJ59" s="819"/>
      <c r="AK59" s="396"/>
    </row>
    <row r="60" spans="1:46" ht="12" customHeight="1" x14ac:dyDescent="0.25">
      <c r="D60" s="154"/>
      <c r="E60" s="154"/>
      <c r="F60" s="832"/>
      <c r="G60" s="833"/>
      <c r="H60" s="833"/>
      <c r="I60" s="833"/>
      <c r="J60" s="833"/>
      <c r="K60" s="833"/>
      <c r="L60" s="833"/>
      <c r="M60" s="833"/>
      <c r="N60" s="833"/>
      <c r="O60" s="833"/>
      <c r="P60" s="833"/>
      <c r="Q60" s="833"/>
      <c r="R60" s="833"/>
      <c r="S60" s="833"/>
      <c r="T60" s="833"/>
      <c r="U60" s="833"/>
      <c r="V60" s="833"/>
      <c r="W60" s="833"/>
      <c r="X60" s="833"/>
      <c r="Y60" s="833"/>
      <c r="Z60" s="833"/>
      <c r="AA60" s="833"/>
      <c r="AB60" s="833"/>
      <c r="AC60" s="833"/>
      <c r="AD60" s="833"/>
      <c r="AE60" s="833"/>
      <c r="AF60" s="833"/>
      <c r="AG60" s="833"/>
      <c r="AH60" s="833"/>
      <c r="AI60" s="833"/>
      <c r="AJ60" s="834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J'ai contrôlé les comptes mensuels et vérifié leur exactitude.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09"/>
      <c r="G63" s="809"/>
      <c r="H63" s="809"/>
      <c r="I63" s="809"/>
      <c r="J63" s="809"/>
      <c r="K63" s="809"/>
      <c r="L63" s="809"/>
      <c r="M63" s="809"/>
      <c r="V63" s="809"/>
      <c r="W63" s="809"/>
      <c r="X63" s="809"/>
      <c r="Y63" s="809"/>
      <c r="Z63" s="809"/>
      <c r="AA63" s="809"/>
      <c r="AB63" s="809"/>
      <c r="AC63" s="809"/>
      <c r="AH63" s="809"/>
      <c r="AI63" s="809"/>
      <c r="AJ63" s="809"/>
    </row>
    <row r="64" spans="1:46" ht="15.75" x14ac:dyDescent="0.25">
      <c r="D64" s="156" t="str">
        <f>H_Label!B306</f>
        <v>visa employé</v>
      </c>
      <c r="E64" s="156"/>
      <c r="F64" s="810"/>
      <c r="G64" s="810"/>
      <c r="H64" s="810"/>
      <c r="I64" s="810"/>
      <c r="J64" s="810"/>
      <c r="K64" s="810"/>
      <c r="L64" s="810"/>
      <c r="M64" s="810"/>
      <c r="N64" s="156"/>
      <c r="O64" s="148"/>
      <c r="P64" s="156" t="str">
        <f>H_Label!B307</f>
        <v>visa supérieur hiérarchique</v>
      </c>
      <c r="Q64" s="148"/>
      <c r="R64" s="15"/>
      <c r="S64" s="156"/>
      <c r="T64" s="156"/>
      <c r="U64" s="156"/>
      <c r="V64" s="810"/>
      <c r="W64" s="810"/>
      <c r="X64" s="810"/>
      <c r="Y64" s="810"/>
      <c r="Z64" s="810"/>
      <c r="AA64" s="810"/>
      <c r="AB64" s="810"/>
      <c r="AC64" s="810"/>
      <c r="AD64" s="148"/>
      <c r="AE64" s="15"/>
      <c r="AF64" s="156" t="str">
        <f>H_Label!B308</f>
        <v>date</v>
      </c>
      <c r="AG64" s="15"/>
      <c r="AH64" s="810"/>
      <c r="AI64" s="810"/>
      <c r="AJ64" s="810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KIyPg/hUbHVFo0uZ76ehKJ58/w5/Vd3DTv/g+uwkw50rC76HViOWcZeSst899v4I6HJKIgmTegaPHYiQxClFcQ==" saltValue="EZ0h8DfqB/+uTydljIoW7g==" spinCount="100000" sheet="1" objects="1" scenarios="1"/>
  <mergeCells count="23">
    <mergeCell ref="F63:M64"/>
    <mergeCell ref="V63:AC64"/>
    <mergeCell ref="AH63:AJ64"/>
    <mergeCell ref="K56:M56"/>
    <mergeCell ref="W56:Y56"/>
    <mergeCell ref="AH56:AJ56"/>
    <mergeCell ref="F58:AJ58"/>
    <mergeCell ref="F59:AJ59"/>
    <mergeCell ref="F60:AJ60"/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</mergeCells>
  <conditionalFormatting sqref="D37:AJ37">
    <cfRule type="expression" dxfId="170" priority="14">
      <formula>AND(M_Monat&gt;4,M_Monat&lt;10)</formula>
    </cfRule>
    <cfRule type="expression" dxfId="169" priority="15">
      <formula>M_Monat&gt;=10</formula>
    </cfRule>
  </conditionalFormatting>
  <conditionalFormatting sqref="E15:AK15">
    <cfRule type="expression" dxfId="168" priority="9">
      <formula>E$15=2</formula>
    </cfRule>
  </conditionalFormatting>
  <conditionalFormatting sqref="F17:AJ17">
    <cfRule type="expression" dxfId="167" priority="12">
      <formula>OR(AND(DAY(F$16)&lt;&gt;1,WEEKDAY(F$16,2)&lt;&gt;1),F$14=0)</formula>
    </cfRule>
    <cfRule type="expression" dxfId="166" priority="13">
      <formula>OR(F$15=2,AND(F$14=1,WEEKDAY(F$16,2)=7))</formula>
    </cfRule>
  </conditionalFormatting>
  <conditionalFormatting sqref="F18:AJ21 F23:AJ28 F31:AJ31 F33:AJ34 F36:AJ51 F53:AJ54">
    <cfRule type="expression" dxfId="165" priority="17">
      <formula>F$21="ft"</formula>
    </cfRule>
  </conditionalFormatting>
  <conditionalFormatting sqref="F18:AJ21 F23:AJ29 F31:AJ34 F36:AJ51 F53:AJ54">
    <cfRule type="expression" dxfId="164" priority="8">
      <formula>AND(F$14=0,$B18=0)</formula>
    </cfRule>
  </conditionalFormatting>
  <conditionalFormatting sqref="F28:AJ29 F32:AJ32">
    <cfRule type="expression" dxfId="163" priority="10">
      <formula>OR(WEEKDAY(F$16,2)=7,F$15=2)</formula>
    </cfRule>
  </conditionalFormatting>
  <conditionalFormatting sqref="F36:AJ51 F53:AJ54 F18:AJ21 F23:AJ28 F31:AJ31 F33:AJ34">
    <cfRule type="expression" dxfId="162" priority="16">
      <formula>WEEKDAY(F$18,2)=7</formula>
    </cfRule>
    <cfRule type="expression" dxfId="161" priority="18">
      <formula>WEEKDAY(F$18,2)=6</formula>
    </cfRule>
  </conditionalFormatting>
  <conditionalFormatting sqref="F53:AJ54">
    <cfRule type="containsText" dxfId="160" priority="11" operator="containsText" text="x">
      <formula>NOT(ISERROR(SEARCH("x",F53)))</formula>
    </cfRule>
  </conditionalFormatting>
  <conditionalFormatting sqref="J3:L3">
    <cfRule type="expression" dxfId="159" priority="1">
      <formula>B_fldSaldoVJ=0</formula>
    </cfRule>
  </conditionalFormatting>
  <conditionalFormatting sqref="AB3:AD3">
    <cfRule type="expression" dxfId="156" priority="2">
      <formula>H_fldFerienEndSaldo&lt;0</formula>
    </cfRule>
  </conditionalFormatting>
  <conditionalFormatting sqref="AG18:AJ21 AG23:AJ29 AG31:AJ34 AG36:AJ51 AG53:AJ54">
    <cfRule type="expression" dxfId="155" priority="6">
      <formula>AND(AG$14=0,$B18&lt;&gt;0)</formula>
    </cfRule>
    <cfRule type="expression" dxfId="154" priority="7">
      <formula>AG$15=2</formula>
    </cfRule>
  </conditionalFormatting>
  <conditionalFormatting sqref="AJ17:AJ21 AJ23:AJ29 AJ31:AJ34 AJ36:AJ51 AJ53:AJ54">
    <cfRule type="expression" dxfId="153" priority="5">
      <formula>AK$15="m"</formula>
    </cfRule>
  </conditionalFormatting>
  <dataValidations count="11"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C7E80BC5-0EC0-48C1-9181-25F61766FDB1}">
      <formula1>-4000</formula1>
      <formula2>24</formula2>
    </dataValidation>
    <dataValidation type="custom" operator="greaterThanOrEqual" showErrorMessage="1" errorTitle="Karenztag" error="Zuerst Stunden im Feld &quot;Krankheit&quot; erfassen!" sqref="F53:AJ53" xr:uid="{7CBADDC8-1536-4D67-8A4E-55BA8BA19E7F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40658507-39C4-4BC7-9CBF-CD18A7BDB664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6064EC15-E5E6-46A9-8CC7-76E9E0A2134D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7570F1F2-0510-4331-A658-374B06E1EA4D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D57018AC-12A8-40E4-BDAC-B12F50AE481B}"/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57A8D05B-DF49-4354-A379-497F41D1DE5D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CA31E61B-9E66-49FD-91A7-BF3A2183CE0D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229D4200-A906-4418-8BD5-3A3DE50A4F14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0D8EBED9-BEC0-4D58-A8F7-84CC58391700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9:AK50" xr:uid="{55AD905D-14C9-4951-AFBC-DB463503EDD8}">
      <formula1>-4000</formula1>
    </dataValidation>
  </dataValidations>
  <hyperlinks>
    <hyperlink ref="AJ12" location="Jahresauswertung!H3" display="." xr:uid="{2E76354A-71FC-4BAB-9FC2-5C2BF34C06DF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5BA6512-FB50-4476-A969-1DBC853E42B0}">
            <xm:f>'report annuel'!$X$34=0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71F7BF0D-1DC1-4854-ADEC-1C2204324D8F}">
            <xm:f>'report annuel'!$X$34&lt;0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13792-C157-4B6B-8E42-E9A5B5891C85}">
  <sheetPr codeName="ts05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"/>
      <selection pane="bottomLeft" activeCell="R27" sqref="R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13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13"/>
      <c r="F3" s="550" t="str">
        <f>H_Label!B32</f>
        <v>heures année passée</v>
      </c>
      <c r="G3" s="551"/>
      <c r="H3" s="551"/>
      <c r="I3" s="551"/>
      <c r="J3" s="812" t="str">
        <f>TEXT('report annuel'!$X$34,"0.00")&amp;" / "&amp;TEXT(B_fldSaldoVJ,"0.00")</f>
        <v>0.00 / 0.00</v>
      </c>
      <c r="K3" s="812"/>
      <c r="L3" s="812"/>
      <c r="M3" s="552"/>
      <c r="N3" s="552"/>
      <c r="O3" s="550" t="str">
        <f>H_Label!B33</f>
        <v>heures année en cours</v>
      </c>
      <c r="P3" s="551"/>
      <c r="Q3" s="551"/>
      <c r="R3" s="551"/>
      <c r="S3" s="551"/>
      <c r="T3" s="831">
        <f>'report annuel'!$AD$43</f>
        <v>-2016</v>
      </c>
      <c r="U3" s="831"/>
      <c r="V3" s="831"/>
      <c r="W3" s="552"/>
      <c r="X3" s="552"/>
      <c r="Y3" s="550" t="str">
        <f>H_Label!B34</f>
        <v>se des vacences</v>
      </c>
      <c r="Z3" s="551"/>
      <c r="AA3" s="551"/>
      <c r="AB3" s="812" t="str">
        <f ca="1">TEXT(H_fldFerienEndSaldo,"0.00")&amp;" / "&amp;TEXT(H_fldFerienSaldoKORR,"0.00")</f>
        <v>176.00 / 176.00</v>
      </c>
      <c r="AC3" s="812"/>
      <c r="AD3" s="812"/>
      <c r="AF3" s="148"/>
      <c r="AG3" s="148"/>
      <c r="AH3" s="148"/>
      <c r="AI3" s="148"/>
      <c r="AJ3" s="148"/>
    </row>
    <row r="4" spans="1:46" ht="13.5" customHeight="1" x14ac:dyDescent="0.25">
      <c r="D4" s="813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taux d'occupation réel</v>
      </c>
      <c r="AH5" s="527"/>
      <c r="AI5" s="830">
        <f>AN54</f>
        <v>1</v>
      </c>
      <c r="AJ5" s="830"/>
      <c r="AK5" s="388"/>
    </row>
    <row r="6" spans="1:46" ht="27.95" customHeight="1" x14ac:dyDescent="0.25">
      <c r="D6" s="174" t="str">
        <f>H_Label!$B$221 &amp;" "&amp;TEXT('fiche du personnel'!$U$1,"JJJJ")</f>
        <v>Contrôle des heures de travail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28" t="str">
        <f>'fiche du personnel'!$G$3</f>
        <v>Peinture Exemple SA</v>
      </c>
      <c r="Z6" s="828"/>
      <c r="AA6" s="828"/>
      <c r="AB6" s="828"/>
      <c r="AC6" s="828"/>
      <c r="AD6" s="828"/>
      <c r="AE6" s="828"/>
      <c r="AF6" s="828"/>
      <c r="AG6" s="828"/>
      <c r="AH6" s="828"/>
      <c r="AI6" s="828"/>
      <c r="AJ6" s="829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employé</v>
      </c>
      <c r="E8" s="31"/>
      <c r="F8" s="820" t="str">
        <f>'fiche du personnel'!$G$6</f>
        <v>Martin Dupont</v>
      </c>
      <c r="G8" s="821"/>
      <c r="H8" s="821"/>
      <c r="I8" s="821"/>
      <c r="J8" s="821"/>
      <c r="K8" s="822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occupation (%)</v>
      </c>
      <c r="E9" s="374"/>
      <c r="F9" s="823" cm="1">
        <f t="array" ref="F9">SUMPRODUCT((H_tblBGMnt=M_Monat)*H_tblBGavg)</f>
        <v>100</v>
      </c>
      <c r="G9" s="824"/>
      <c r="H9" s="825" t="str">
        <f>H_Label!B224&amp;" "&amp;D12</f>
        <v>en mai</v>
      </c>
      <c r="I9" s="826"/>
      <c r="J9" s="826"/>
      <c r="K9" s="827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se pour l'année</v>
      </c>
      <c r="E10" s="89"/>
      <c r="F10" s="838">
        <f>DATE(A_Jahr,AM13,1)</f>
        <v>46143</v>
      </c>
      <c r="G10" s="839"/>
      <c r="H10" s="840">
        <f>'report annuel'!AF42</f>
        <v>-2016</v>
      </c>
      <c r="I10" s="841"/>
      <c r="J10" s="841"/>
      <c r="K10" s="842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11" t="s">
        <v>501</v>
      </c>
      <c r="D12" s="494" t="str">
        <f>TEXT($F$10,"MMMM"&amp;H_Label!$B$23)</f>
        <v>mai</v>
      </c>
      <c r="E12" s="375"/>
      <c r="F12" s="843" t="str">
        <f>H_Label!B231</f>
        <v>se mois + / -</v>
      </c>
      <c r="G12" s="844"/>
      <c r="H12" s="844"/>
      <c r="I12" s="845"/>
      <c r="J12" s="846" cm="1">
        <f t="array" ref="J12">INDEX(H_dMNTCurrentSaldo,1,M_Monat)</f>
        <v>-144</v>
      </c>
      <c r="K12" s="847"/>
      <c r="L12" s="157"/>
      <c r="M12" s="158"/>
      <c r="N12" s="202"/>
      <c r="O12" s="159" t="str">
        <f>H_Label!B240</f>
        <v xml:space="preserve"> = </v>
      </c>
      <c r="P12" s="151" t="str">
        <f>H_Label!B241</f>
        <v>seules les cases/champs jaunes sont saisissables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11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5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11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1</v>
      </c>
      <c r="AI14" s="410">
        <f t="shared" si="0"/>
        <v>1</v>
      </c>
      <c r="AJ14" s="411">
        <f t="shared" si="0"/>
        <v>1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11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3</v>
      </c>
      <c r="AH15" s="418">
        <f t="shared" si="1"/>
        <v>3</v>
      </c>
      <c r="AI15" s="418">
        <f t="shared" si="1"/>
        <v>3</v>
      </c>
      <c r="AJ15" s="419">
        <f t="shared" si="1"/>
        <v>2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46143</v>
      </c>
      <c r="G16" s="422">
        <f>F$16+1</f>
        <v>46144</v>
      </c>
      <c r="H16" s="422">
        <f t="shared" ref="H16:AJ16" si="2">G$16+1</f>
        <v>46145</v>
      </c>
      <c r="I16" s="422">
        <f t="shared" si="2"/>
        <v>46146</v>
      </c>
      <c r="J16" s="422">
        <f t="shared" si="2"/>
        <v>46147</v>
      </c>
      <c r="K16" s="422">
        <f t="shared" si="2"/>
        <v>46148</v>
      </c>
      <c r="L16" s="423">
        <f t="shared" si="2"/>
        <v>46149</v>
      </c>
      <c r="M16" s="423">
        <f t="shared" si="2"/>
        <v>46150</v>
      </c>
      <c r="N16" s="424">
        <f t="shared" si="2"/>
        <v>46151</v>
      </c>
      <c r="O16" s="425">
        <f t="shared" si="2"/>
        <v>46152</v>
      </c>
      <c r="P16" s="425">
        <f t="shared" si="2"/>
        <v>46153</v>
      </c>
      <c r="Q16" s="425">
        <f t="shared" si="2"/>
        <v>46154</v>
      </c>
      <c r="R16" s="425">
        <f t="shared" si="2"/>
        <v>46155</v>
      </c>
      <c r="S16" s="425">
        <f t="shared" si="2"/>
        <v>46156</v>
      </c>
      <c r="T16" s="425">
        <f t="shared" si="2"/>
        <v>46157</v>
      </c>
      <c r="U16" s="425">
        <f t="shared" si="2"/>
        <v>46158</v>
      </c>
      <c r="V16" s="425">
        <f t="shared" si="2"/>
        <v>46159</v>
      </c>
      <c r="W16" s="425">
        <f t="shared" si="2"/>
        <v>46160</v>
      </c>
      <c r="X16" s="425">
        <f t="shared" si="2"/>
        <v>46161</v>
      </c>
      <c r="Y16" s="425">
        <f t="shared" si="2"/>
        <v>46162</v>
      </c>
      <c r="Z16" s="425">
        <f t="shared" si="2"/>
        <v>46163</v>
      </c>
      <c r="AA16" s="425">
        <f t="shared" si="2"/>
        <v>46164</v>
      </c>
      <c r="AB16" s="425">
        <f t="shared" si="2"/>
        <v>46165</v>
      </c>
      <c r="AC16" s="425">
        <f t="shared" si="2"/>
        <v>46166</v>
      </c>
      <c r="AD16" s="425">
        <f t="shared" si="2"/>
        <v>46167</v>
      </c>
      <c r="AE16" s="425">
        <f t="shared" si="2"/>
        <v>46168</v>
      </c>
      <c r="AF16" s="426">
        <f t="shared" si="2"/>
        <v>46169</v>
      </c>
      <c r="AG16" s="426">
        <f t="shared" si="2"/>
        <v>46170</v>
      </c>
      <c r="AH16" s="426">
        <f t="shared" si="2"/>
        <v>46171</v>
      </c>
      <c r="AI16" s="426">
        <f t="shared" si="2"/>
        <v>46172</v>
      </c>
      <c r="AJ16" s="427">
        <f t="shared" si="2"/>
        <v>46173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semaine civile</v>
      </c>
      <c r="E17" s="291"/>
      <c r="F17" s="205">
        <f>WEEKNUM(F$16,21)</f>
        <v>18</v>
      </c>
      <c r="G17" s="203">
        <f t="shared" ref="G17:AJ17" si="3">WEEKNUM(G$16,21)</f>
        <v>18</v>
      </c>
      <c r="H17" s="203">
        <f t="shared" si="3"/>
        <v>18</v>
      </c>
      <c r="I17" s="203">
        <f t="shared" si="3"/>
        <v>19</v>
      </c>
      <c r="J17" s="203">
        <f t="shared" si="3"/>
        <v>19</v>
      </c>
      <c r="K17" s="203">
        <f t="shared" si="3"/>
        <v>19</v>
      </c>
      <c r="L17" s="203">
        <f t="shared" si="3"/>
        <v>19</v>
      </c>
      <c r="M17" s="203">
        <f t="shared" si="3"/>
        <v>19</v>
      </c>
      <c r="N17" s="203">
        <f t="shared" si="3"/>
        <v>19</v>
      </c>
      <c r="O17" s="203">
        <f t="shared" si="3"/>
        <v>19</v>
      </c>
      <c r="P17" s="203">
        <f t="shared" si="3"/>
        <v>20</v>
      </c>
      <c r="Q17" s="203">
        <f t="shared" si="3"/>
        <v>20</v>
      </c>
      <c r="R17" s="203">
        <f t="shared" si="3"/>
        <v>20</v>
      </c>
      <c r="S17" s="203">
        <f t="shared" si="3"/>
        <v>20</v>
      </c>
      <c r="T17" s="203">
        <f t="shared" si="3"/>
        <v>20</v>
      </c>
      <c r="U17" s="203">
        <f t="shared" si="3"/>
        <v>20</v>
      </c>
      <c r="V17" s="203">
        <f t="shared" si="3"/>
        <v>20</v>
      </c>
      <c r="W17" s="203">
        <f t="shared" si="3"/>
        <v>21</v>
      </c>
      <c r="X17" s="203">
        <f t="shared" si="3"/>
        <v>21</v>
      </c>
      <c r="Y17" s="203">
        <f t="shared" si="3"/>
        <v>21</v>
      </c>
      <c r="Z17" s="203">
        <f t="shared" si="3"/>
        <v>21</v>
      </c>
      <c r="AA17" s="203">
        <f t="shared" si="3"/>
        <v>21</v>
      </c>
      <c r="AB17" s="203">
        <f t="shared" si="3"/>
        <v>21</v>
      </c>
      <c r="AC17" s="203">
        <f t="shared" si="3"/>
        <v>21</v>
      </c>
      <c r="AD17" s="203">
        <f t="shared" si="3"/>
        <v>22</v>
      </c>
      <c r="AE17" s="203">
        <f t="shared" si="3"/>
        <v>22</v>
      </c>
      <c r="AF17" s="203">
        <f t="shared" si="3"/>
        <v>22</v>
      </c>
      <c r="AG17" s="203">
        <f t="shared" si="3"/>
        <v>22</v>
      </c>
      <c r="AH17" s="203">
        <f t="shared" si="3"/>
        <v>22</v>
      </c>
      <c r="AI17" s="203">
        <f t="shared" si="3"/>
        <v>22</v>
      </c>
      <c r="AJ17" s="204">
        <f t="shared" si="3"/>
        <v>22</v>
      </c>
      <c r="AK17" s="398"/>
      <c r="AL17" s="114" cm="1">
        <f t="array" ref="AL17">SUM(IF(FREQUENCY(F17:AJ17,F17:AJ17)&gt;0,1))</f>
        <v>5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46143</v>
      </c>
      <c r="G18" s="28">
        <f t="shared" ref="G18:AJ18" si="4">IF(G14,G16,0)</f>
        <v>46144</v>
      </c>
      <c r="H18" s="27">
        <f t="shared" si="4"/>
        <v>46145</v>
      </c>
      <c r="I18" s="27">
        <f t="shared" si="4"/>
        <v>46146</v>
      </c>
      <c r="J18" s="27">
        <f t="shared" si="4"/>
        <v>46147</v>
      </c>
      <c r="K18" s="27">
        <f t="shared" si="4"/>
        <v>46148</v>
      </c>
      <c r="L18" s="27">
        <f t="shared" si="4"/>
        <v>46149</v>
      </c>
      <c r="M18" s="27">
        <f t="shared" si="4"/>
        <v>46150</v>
      </c>
      <c r="N18" s="27">
        <f t="shared" si="4"/>
        <v>46151</v>
      </c>
      <c r="O18" s="27">
        <f t="shared" si="4"/>
        <v>46152</v>
      </c>
      <c r="P18" s="27">
        <f t="shared" si="4"/>
        <v>46153</v>
      </c>
      <c r="Q18" s="27">
        <f t="shared" si="4"/>
        <v>46154</v>
      </c>
      <c r="R18" s="27">
        <f t="shared" si="4"/>
        <v>46155</v>
      </c>
      <c r="S18" s="27">
        <f t="shared" si="4"/>
        <v>46156</v>
      </c>
      <c r="T18" s="27">
        <f t="shared" si="4"/>
        <v>46157</v>
      </c>
      <c r="U18" s="27">
        <f t="shared" si="4"/>
        <v>46158</v>
      </c>
      <c r="V18" s="27">
        <f t="shared" si="4"/>
        <v>46159</v>
      </c>
      <c r="W18" s="27">
        <f t="shared" si="4"/>
        <v>46160</v>
      </c>
      <c r="X18" s="27">
        <f t="shared" si="4"/>
        <v>46161</v>
      </c>
      <c r="Y18" s="27">
        <f t="shared" si="4"/>
        <v>46162</v>
      </c>
      <c r="Z18" s="27">
        <f t="shared" si="4"/>
        <v>46163</v>
      </c>
      <c r="AA18" s="27">
        <f t="shared" si="4"/>
        <v>46164</v>
      </c>
      <c r="AB18" s="27">
        <f t="shared" si="4"/>
        <v>46165</v>
      </c>
      <c r="AC18" s="27">
        <f t="shared" si="4"/>
        <v>46166</v>
      </c>
      <c r="AD18" s="27">
        <f t="shared" si="4"/>
        <v>46167</v>
      </c>
      <c r="AE18" s="27">
        <f t="shared" si="4"/>
        <v>46168</v>
      </c>
      <c r="AF18" s="27">
        <f t="shared" si="4"/>
        <v>46169</v>
      </c>
      <c r="AG18" s="27">
        <f t="shared" si="4"/>
        <v>46170</v>
      </c>
      <c r="AH18" s="27">
        <f t="shared" si="4"/>
        <v>46171</v>
      </c>
      <c r="AI18" s="198">
        <f t="shared" si="4"/>
        <v>46172</v>
      </c>
      <c r="AJ18" s="198">
        <f t="shared" si="4"/>
        <v>46173</v>
      </c>
      <c r="AK18" s="399"/>
      <c r="AL18" s="115">
        <f>_xlfn.DAYS(EOMONTH($F$18,0),$F$18)+1</f>
        <v>31</v>
      </c>
      <c r="AM18" s="287">
        <f>AL19*A_fldSollTagStd</f>
        <v>168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ven.</v>
      </c>
      <c r="G19" s="92" t="str">
        <f>IF(G14=1,TEXT(G$18,H_Label!$B$24&amp;"TTT"),0)</f>
        <v>sam.</v>
      </c>
      <c r="H19" s="92" t="str">
        <f>IF(H14=1,TEXT(H$18,H_Label!$B$24&amp;"TTT"),0)</f>
        <v>dim.</v>
      </c>
      <c r="I19" s="92" t="str">
        <f>IF(I14=1,TEXT(I$18,H_Label!$B$24&amp;"TTT"),0)</f>
        <v>lun.</v>
      </c>
      <c r="J19" s="92" t="str">
        <f>IF(J14=1,TEXT(J$18,H_Label!$B$24&amp;"TTT"),0)</f>
        <v>mar.</v>
      </c>
      <c r="K19" s="92" t="str">
        <f>IF(K14=1,TEXT(K$18,H_Label!$B$24&amp;"TTT"),0)</f>
        <v>mer.</v>
      </c>
      <c r="L19" s="92" t="str">
        <f>IF(L14=1,TEXT(L$18,H_Label!$B$24&amp;"TTT"),0)</f>
        <v>jeu.</v>
      </c>
      <c r="M19" s="92" t="str">
        <f>IF(M14=1,TEXT(M$18,H_Label!$B$24&amp;"TTT"),0)</f>
        <v>ven.</v>
      </c>
      <c r="N19" s="92" t="str">
        <f>IF(N14=1,TEXT(N$18,H_Label!$B$24&amp;"TTT"),0)</f>
        <v>sam.</v>
      </c>
      <c r="O19" s="92" t="str">
        <f>IF(O14=1,TEXT(O$18,H_Label!$B$24&amp;"TTT"),0)</f>
        <v>dim.</v>
      </c>
      <c r="P19" s="92" t="str">
        <f>IF(P14=1,TEXT(P$18,H_Label!$B$24&amp;"TTT"),0)</f>
        <v>lun.</v>
      </c>
      <c r="Q19" s="92" t="str">
        <f>IF(Q14=1,TEXT(Q$18,H_Label!$B$24&amp;"TTT"),0)</f>
        <v>mar.</v>
      </c>
      <c r="R19" s="92" t="str">
        <f>IF(R14=1,TEXT(R$18,H_Label!$B$24&amp;"TTT"),0)</f>
        <v>mer.</v>
      </c>
      <c r="S19" s="92" t="str">
        <f>IF(S14=1,TEXT(S$18,H_Label!$B$24&amp;"TTT"),0)</f>
        <v>jeu.</v>
      </c>
      <c r="T19" s="92" t="str">
        <f>IF(T14=1,TEXT(T$18,H_Label!$B$24&amp;"TTT"),0)</f>
        <v>ven.</v>
      </c>
      <c r="U19" s="92" t="str">
        <f>IF(U14=1,TEXT(U$18,H_Label!$B$24&amp;"TTT"),0)</f>
        <v>sam.</v>
      </c>
      <c r="V19" s="92" t="str">
        <f>IF(V14=1,TEXT(V$18,H_Label!$B$24&amp;"TTT"),0)</f>
        <v>dim.</v>
      </c>
      <c r="W19" s="92" t="str">
        <f>IF(W14=1,TEXT(W$18,H_Label!$B$24&amp;"TTT"),0)</f>
        <v>lun.</v>
      </c>
      <c r="X19" s="92" t="str">
        <f>IF(X14=1,TEXT(X$18,H_Label!$B$24&amp;"TTT"),0)</f>
        <v>mar.</v>
      </c>
      <c r="Y19" s="92" t="str">
        <f>IF(Y14=1,TEXT(Y$18,H_Label!$B$24&amp;"TTT"),0)</f>
        <v>mer.</v>
      </c>
      <c r="Z19" s="92" t="str">
        <f>IF(Z14=1,TEXT(Z$18,H_Label!$B$24&amp;"TTT"),0)</f>
        <v>jeu.</v>
      </c>
      <c r="AA19" s="92" t="str">
        <f>IF(AA14=1,TEXT(AA$18,H_Label!$B$24&amp;"TTT"),0)</f>
        <v>ven.</v>
      </c>
      <c r="AB19" s="92" t="str">
        <f>IF(AB14=1,TEXT(AB$18,H_Label!$B$24&amp;"TTT"),0)</f>
        <v>sam.</v>
      </c>
      <c r="AC19" s="92" t="str">
        <f>IF(AC14=1,TEXT(AC$18,H_Label!$B$24&amp;"TTT"),0)</f>
        <v>dim.</v>
      </c>
      <c r="AD19" s="92" t="str">
        <f>IF(AD14=1,TEXT(AD$18,H_Label!$B$24&amp;"TTT"),0)</f>
        <v>lun.</v>
      </c>
      <c r="AE19" s="92" t="str">
        <f>IF(AE14=1,TEXT(AE$18,H_Label!$B$24&amp;"TTT"),0)</f>
        <v>mar.</v>
      </c>
      <c r="AF19" s="92" t="str">
        <f>IF(AF14=1,TEXT(AF$18,H_Label!$B$24&amp;"TTT"),0)</f>
        <v>mer.</v>
      </c>
      <c r="AG19" s="92" t="str">
        <f>IF(AG14=1,TEXT(AG$18,H_Label!$B$24&amp;"TTT"),0)</f>
        <v>jeu.</v>
      </c>
      <c r="AH19" s="92" t="str">
        <f>IF(AH14=1,TEXT(AH$18,H_Label!$B$24&amp;"TTT"),0)</f>
        <v>ven.</v>
      </c>
      <c r="AI19" s="92" t="str">
        <f>IF(AI14=1,TEXT(AI$18,H_Label!$B$24&amp;"TTT"),0)</f>
        <v>sam.</v>
      </c>
      <c r="AJ19" s="92" t="str">
        <f>IF(AJ14=1,TEXT(AJ$18,H_Label!$B$24&amp;"TTT"),0)</f>
        <v>dim.</v>
      </c>
      <c r="AK19" s="400"/>
      <c r="AL19" s="117">
        <f>NETWORKDAYS($F$18,EOMONTH($F$18,0))</f>
        <v>21</v>
      </c>
      <c r="AM19" s="288">
        <f>SUM(F20:AJ20)</f>
        <v>168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heures théorique</v>
      </c>
      <c r="E20" s="19"/>
      <c r="F20" s="26" cm="1">
        <f t="array" ref="F20">IF(OR(F14=0,F54="x"),0,A_fldSollTagStd*SUMPRODUCT((H_tblBGTage=WEEKDAY(F16,2))*(H_tblBGMnt=M_Monat)*H_tblBG%))</f>
        <v>8</v>
      </c>
      <c r="G20" s="26" cm="1">
        <f t="array" ref="G20">IF(OR(G14=0,G54="x"),0,A_fldSollTagStd*SUMPRODUCT((H_tblBGTage=WEEKDAY(G16,2))*(H_tblBGMnt=M_Monat)*H_tblBG%))</f>
        <v>0</v>
      </c>
      <c r="H20" s="26" cm="1">
        <f t="array" ref="H20">IF(OR(H14=0,H54="x"),0,A_fldSollTagStd*SUMPRODUCT((H_tblBGTage=WEEKDAY(H16,2))*(H_tblBGMnt=M_Monat)*H_tblBG%))</f>
        <v>0</v>
      </c>
      <c r="I20" s="26" cm="1">
        <f t="array" ref="I20">IF(OR(I14=0,I54="x"),0,A_fldSollTagStd*SUMPRODUCT((H_tblBGTage=WEEKDAY(I16,2))*(H_tblBGMnt=M_Monat)*H_tblBG%))</f>
        <v>8</v>
      </c>
      <c r="J20" s="26" cm="1">
        <f t="array" ref="J20">IF(OR(J14=0,J54="x"),0,A_fldSollTagStd*SUMPRODUCT((H_tblBGTage=WEEKDAY(J16,2))*(H_tblBGMnt=M_Monat)*H_tblBG%))</f>
        <v>8</v>
      </c>
      <c r="K20" s="26" cm="1">
        <f t="array" ref="K20">IF(OR(K14=0,K54="x"),0,A_fldSollTagStd*SUMPRODUCT((H_tblBGTage=WEEKDAY(K16,2))*(H_tblBGMnt=M_Monat)*H_tblBG%))</f>
        <v>8</v>
      </c>
      <c r="L20" s="26" cm="1">
        <f t="array" ref="L20">IF(OR(L14=0,L54="x"),0,A_fldSollTagStd*SUMPRODUCT((H_tblBGTage=WEEKDAY(L16,2))*(H_tblBGMnt=M_Monat)*H_tblBG%))</f>
        <v>8</v>
      </c>
      <c r="M20" s="26" cm="1">
        <f t="array" ref="M20">IF(OR(M14=0,M54="x"),0,A_fldSollTagStd*SUMPRODUCT((H_tblBGTage=WEEKDAY(M16,2))*(H_tblBGMnt=M_Monat)*H_tblBG%))</f>
        <v>8</v>
      </c>
      <c r="N20" s="26" cm="1">
        <f t="array" ref="N20">IF(OR(N14=0,N54="x"),0,A_fldSollTagStd*SUMPRODUCT((H_tblBGTage=WEEKDAY(N16,2))*(H_tblBGMnt=M_Monat)*H_tblBG%))</f>
        <v>0</v>
      </c>
      <c r="O20" s="26" cm="1">
        <f t="array" ref="O20">IF(OR(O14=0,O54="x"),0,A_fldSollTagStd*SUMPRODUCT((H_tblBGTage=WEEKDAY(O16,2))*(H_tblBGMnt=M_Monat)*H_tblBG%))</f>
        <v>0</v>
      </c>
      <c r="P20" s="26" cm="1">
        <f t="array" ref="P20">IF(OR(P14=0,P54="x"),0,A_fldSollTagStd*SUMPRODUCT((H_tblBGTage=WEEKDAY(P16,2))*(H_tblBGMnt=M_Monat)*H_tblBG%))</f>
        <v>8</v>
      </c>
      <c r="Q20" s="26" cm="1">
        <f t="array" ref="Q20">IF(OR(Q14=0,Q54="x"),0,A_fldSollTagStd*SUMPRODUCT((H_tblBGTage=WEEKDAY(Q16,2))*(H_tblBGMnt=M_Monat)*H_tblBG%))</f>
        <v>8</v>
      </c>
      <c r="R20" s="26" cm="1">
        <f t="array" ref="R20">IF(OR(R14=0,R54="x"),0,A_fldSollTagStd*SUMPRODUCT((H_tblBGTage=WEEKDAY(R16,2))*(H_tblBGMnt=M_Monat)*H_tblBG%))</f>
        <v>8</v>
      </c>
      <c r="S20" s="26" cm="1">
        <f t="array" ref="S20">IF(OR(S14=0,S54="x"),0,A_fldSollTagStd*SUMPRODUCT((H_tblBGTage=WEEKDAY(S16,2))*(H_tblBGMnt=M_Monat)*H_tblBG%))</f>
        <v>8</v>
      </c>
      <c r="T20" s="26" cm="1">
        <f t="array" ref="T20">IF(OR(T14=0,T54="x"),0,A_fldSollTagStd*SUMPRODUCT((H_tblBGTage=WEEKDAY(T16,2))*(H_tblBGMnt=M_Monat)*H_tblBG%))</f>
        <v>8</v>
      </c>
      <c r="U20" s="26" cm="1">
        <f t="array" ref="U20">IF(OR(U14=0,U54="x"),0,A_fldSollTagStd*SUMPRODUCT((H_tblBGTage=WEEKDAY(U16,2))*(H_tblBGMnt=M_Monat)*H_tblBG%))</f>
        <v>0</v>
      </c>
      <c r="V20" s="26" cm="1">
        <f t="array" ref="V20">IF(OR(V14=0,V54="x"),0,A_fldSollTagStd*SUMPRODUCT((H_tblBGTage=WEEKDAY(V16,2))*(H_tblBGMnt=M_Monat)*H_tblBG%))</f>
        <v>0</v>
      </c>
      <c r="W20" s="26" cm="1">
        <f t="array" ref="W20">IF(OR(W14=0,W54="x"),0,A_fldSollTagStd*SUMPRODUCT((H_tblBGTage=WEEKDAY(W16,2))*(H_tblBGMnt=M_Monat)*H_tblBG%))</f>
        <v>8</v>
      </c>
      <c r="X20" s="26" cm="1">
        <f t="array" ref="X20">IF(OR(X14=0,X54="x"),0,A_fldSollTagStd*SUMPRODUCT((H_tblBGTage=WEEKDAY(X16,2))*(H_tblBGMnt=M_Monat)*H_tblBG%))</f>
        <v>8</v>
      </c>
      <c r="Y20" s="26" cm="1">
        <f t="array" ref="Y20">IF(OR(Y14=0,Y54="x"),0,A_fldSollTagStd*SUMPRODUCT((H_tblBGTage=WEEKDAY(Y16,2))*(H_tblBGMnt=M_Monat)*H_tblBG%))</f>
        <v>8</v>
      </c>
      <c r="Z20" s="26" cm="1">
        <f t="array" ref="Z20">IF(OR(Z14=0,Z54="x"),0,A_fldSollTagStd*SUMPRODUCT((H_tblBGTage=WEEKDAY(Z16,2))*(H_tblBGMnt=M_Monat)*H_tblBG%))</f>
        <v>8</v>
      </c>
      <c r="AA20" s="26" cm="1">
        <f t="array" ref="AA20">IF(OR(AA14=0,AA54="x"),0,A_fldSollTagStd*SUMPRODUCT((H_tblBGTage=WEEKDAY(AA16,2))*(H_tblBGMnt=M_Monat)*H_tblBG%))</f>
        <v>8</v>
      </c>
      <c r="AB20" s="26" cm="1">
        <f t="array" ref="AB20">IF(OR(AB14=0,AB54="x"),0,A_fldSollTagStd*SUMPRODUCT((H_tblBGTage=WEEKDAY(AB16,2))*(H_tblBGMnt=M_Monat)*H_tblBG%))</f>
        <v>0</v>
      </c>
      <c r="AC20" s="26" cm="1">
        <f t="array" ref="AC20">IF(OR(AC14=0,AC54="x"),0,A_fldSollTagStd*SUMPRODUCT((H_tblBGTage=WEEKDAY(AC16,2))*(H_tblBGMnt=M_Monat)*H_tblBG%))</f>
        <v>0</v>
      </c>
      <c r="AD20" s="26" cm="1">
        <f t="array" ref="AD20">IF(OR(AD14=0,AD54="x"),0,A_fldSollTagStd*SUMPRODUCT((H_tblBGTage=WEEKDAY(AD16,2))*(H_tblBGMnt=M_Monat)*H_tblBG%))</f>
        <v>8</v>
      </c>
      <c r="AE20" s="26" cm="1">
        <f t="array" ref="AE20">IF(OR(AE14=0,AE54="x"),0,A_fldSollTagStd*SUMPRODUCT((H_tblBGTage=WEEKDAY(AE16,2))*(H_tblBGMnt=M_Monat)*H_tblBG%))</f>
        <v>8</v>
      </c>
      <c r="AF20" s="26" cm="1">
        <f t="array" ref="AF20">IF(OR(AF14=0,AF54="x"),0,A_fldSollTagStd*SUMPRODUCT((H_tblBGTage=WEEKDAY(AF16,2))*(H_tblBGMnt=M_Monat)*H_tblBG%))</f>
        <v>8</v>
      </c>
      <c r="AG20" s="26" cm="1">
        <f t="array" ref="AG20">IF(OR(AG14=0,AG54="x"),0,A_fldSollTagStd*SUMPRODUCT((H_tblBGTage=WEEKDAY(AG16,2))*(H_tblBGMnt=M_Monat)*H_tblBG%))</f>
        <v>8</v>
      </c>
      <c r="AH20" s="26" cm="1">
        <f t="array" ref="AH20">IF(OR(AH14=0,AH54="x"),0,A_fldSollTagStd*SUMPRODUCT((H_tblBGTage=WEEKDAY(AH16,2))*(H_tblBGMnt=M_Monat)*H_tblBG%))</f>
        <v>8</v>
      </c>
      <c r="AI20" s="199" cm="1">
        <f t="array" ref="AI20">IF(OR(AI14=0,AI54="x"),0,A_fldSollTagStd*SUMPRODUCT((H_tblBGTage=WEEKDAY(AI16,2))*(H_tblBGMnt=M_Monat)*H_tblBG%))</f>
        <v>0</v>
      </c>
      <c r="AJ20" s="199" cm="1">
        <f t="array" ref="AJ20">IF(OR(AJ14=0,AJ54="x"),0,A_fldSollTagStd*SUMPRODUCT((H_tblBGTage=WEEKDAY(AJ16,2))*(H_tblBGMnt=M_Monat)*H_tblBG%))</f>
        <v>0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jours fériés</v>
      </c>
      <c r="E21" s="20"/>
      <c r="F21" s="195" t="str" cm="1">
        <f t="array" ref="F21">INDEX(H_Calendar!$K$10:$K$375,MATCH(1,INDEX((H_Calendar!$E$10:$E$375=M_Monat)*(H_Calendar!$H$10:$H$375=DAY(F$18)),0,1),0))</f>
        <v>ft</v>
      </c>
      <c r="G21" s="195" t="str" cm="1">
        <f t="array" ref="G21">INDEX(H_Calendar!$K$10:$K$375,MATCH(1,INDEX((H_Calendar!$E$10:$E$375=M_Monat)*(H_Calendar!$H$10:$H$375=DAY(G$18)),0,1),0))</f>
        <v/>
      </c>
      <c r="H21" s="195" t="str" cm="1">
        <f t="array" ref="H21">INDEX(H_Calendar!$K$10:$K$375,MATCH(1,INDEX((H_Calendar!$E$10:$E$375=M_Monat)*(H_Calendar!$H$10:$H$375=DAY(H$18)),0,1),0))</f>
        <v/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/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>ft</v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/>
      </c>
      <c r="AD21" s="195" t="str" cm="1">
        <f t="array" ref="AD21">INDEX(H_Calendar!$K$10:$K$375,MATCH(1,INDEX((H_Calendar!$E$10:$E$375=M_Monat)*(H_Calendar!$H$10:$H$375=DAY(AD$18)),0,1),0))</f>
        <v>ft</v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24</v>
      </c>
      <c r="AM21" s="320">
        <f>COUNTIF(F21:AJ21,"ft")</f>
        <v>3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heures productives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x14ac:dyDescent="0.2">
      <c r="A25" s="252"/>
      <c r="B25" s="438"/>
      <c r="C25" s="252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customHeight="1" x14ac:dyDescent="0.2">
      <c r="A26" s="252"/>
      <c r="B26" s="438"/>
      <c r="C26" s="252">
        <v>4</v>
      </c>
      <c r="D26" s="606" t="str">
        <f>H_Label!B313</f>
        <v>temps de trajet (total)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déduction de temps de trajet = 0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total journalier y c. temp de trajet payé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total hebdomadaire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9" s="143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9" s="144" t="str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juin</v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crédits et majorations</v>
      </c>
      <c r="E30" s="87"/>
      <c r="F30" s="145" t="str">
        <f>H_Label!B264</f>
        <v>1)  25% majoration temporelle pour depassement les heures maximales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majoration temporelle pour travail de nuit</v>
      </c>
      <c r="Q30" s="145"/>
      <c r="R30" s="145"/>
      <c r="S30" s="145"/>
      <c r="T30" s="145"/>
      <c r="U30" s="145"/>
      <c r="V30" s="145"/>
      <c r="W30" s="145" t="str">
        <f>H_Label!B266</f>
        <v>3) 100% majoration temporelle pour travail du dimanche et jour férié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Majoration  "jf"</v>
      </c>
      <c r="E31" s="23"/>
      <c r="F31" s="24">
        <f t="shared" ref="F31:AG31" si="8">IF(F21="ft",F20,0)</f>
        <v>8</v>
      </c>
      <c r="G31" s="24">
        <f t="shared" si="8"/>
        <v>0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8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0</v>
      </c>
      <c r="AD31" s="24">
        <f t="shared" si="8"/>
        <v>8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24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Majorations temp.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/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>juin</v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Majorations temp.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Majorations temp.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>
        <f>H_Label!B273</f>
        <v>0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vacances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compensation année passée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42" si="11">SUM(F37:AJ37)</f>
        <v>0</v>
      </c>
      <c r="AM37" s="292">
        <f t="shared" ref="AM37:AM42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compensation année en cours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absences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maladie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accident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absences de grossesse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Congé de maternité/paternité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militaire/promotion/protection civile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ref="AL44:AL50" si="13">SUM(F44:AJ44)</f>
        <v>0</v>
      </c>
      <c r="AM44" s="292">
        <f t="shared" ref="AM44:AM50" si="14">COUNT(F44:AJ44)</f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école professionelle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3"/>
        <v>0</v>
      </c>
      <c r="AM45" s="292">
        <f t="shared" si="14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cours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3"/>
        <v>0</v>
      </c>
      <c r="AM46" s="292">
        <f t="shared" si="14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chômage partiel et intempéries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3"/>
        <v>0</v>
      </c>
      <c r="AM47" s="292">
        <f t="shared" si="14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arrêts définis par l'entreprise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3"/>
        <v>0</v>
      </c>
      <c r="AM48" s="292">
        <f t="shared" si="14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vacances non payées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3"/>
        <v>0</v>
      </c>
      <c r="AM49" s="292">
        <f t="shared" si="14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heures manquantes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3"/>
        <v>0</v>
      </c>
      <c r="AM50" s="292">
        <f t="shared" si="14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heures inproductives totales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5">ROUND(SUM(H39:H48),4)</f>
        <v>0</v>
      </c>
      <c r="I51" s="433">
        <f t="shared" si="15"/>
        <v>0</v>
      </c>
      <c r="J51" s="433">
        <f t="shared" si="15"/>
        <v>0</v>
      </c>
      <c r="K51" s="433">
        <f t="shared" si="15"/>
        <v>0</v>
      </c>
      <c r="L51" s="433">
        <f t="shared" si="15"/>
        <v>0</v>
      </c>
      <c r="M51" s="433">
        <f t="shared" si="15"/>
        <v>0</v>
      </c>
      <c r="N51" s="433">
        <f t="shared" si="15"/>
        <v>0</v>
      </c>
      <c r="O51" s="433">
        <f t="shared" si="15"/>
        <v>0</v>
      </c>
      <c r="P51" s="433">
        <f t="shared" si="15"/>
        <v>0</v>
      </c>
      <c r="Q51" s="433">
        <f t="shared" si="15"/>
        <v>0</v>
      </c>
      <c r="R51" s="433">
        <f t="shared" si="15"/>
        <v>0</v>
      </c>
      <c r="S51" s="433">
        <f t="shared" si="15"/>
        <v>0</v>
      </c>
      <c r="T51" s="433">
        <f t="shared" si="15"/>
        <v>0</v>
      </c>
      <c r="U51" s="433">
        <f t="shared" si="15"/>
        <v>0</v>
      </c>
      <c r="V51" s="433">
        <f t="shared" si="15"/>
        <v>0</v>
      </c>
      <c r="W51" s="433">
        <f t="shared" si="15"/>
        <v>0</v>
      </c>
      <c r="X51" s="433">
        <f t="shared" si="15"/>
        <v>0</v>
      </c>
      <c r="Y51" s="433">
        <f t="shared" si="15"/>
        <v>0</v>
      </c>
      <c r="Z51" s="433">
        <f t="shared" si="15"/>
        <v>0</v>
      </c>
      <c r="AA51" s="433">
        <f t="shared" si="15"/>
        <v>0</v>
      </c>
      <c r="AB51" s="433">
        <f t="shared" si="15"/>
        <v>0</v>
      </c>
      <c r="AC51" s="433">
        <f t="shared" si="15"/>
        <v>0</v>
      </c>
      <c r="AD51" s="433">
        <f t="shared" si="15"/>
        <v>0</v>
      </c>
      <c r="AE51" s="433">
        <f t="shared" si="15"/>
        <v>0</v>
      </c>
      <c r="AF51" s="433">
        <f t="shared" si="15"/>
        <v>0</v>
      </c>
      <c r="AG51" s="433">
        <f t="shared" si="15"/>
        <v>0</v>
      </c>
      <c r="AH51" s="433">
        <f t="shared" si="15"/>
        <v>0</v>
      </c>
      <c r="AI51" s="433">
        <f t="shared" si="15"/>
        <v>0</v>
      </c>
      <c r="AJ51" s="434">
        <f t="shared" si="15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contrôle et corrections</v>
      </c>
      <c r="E52" s="87"/>
      <c r="F52" s="146"/>
      <c r="G52" s="147" t="str">
        <f>H_Label!B292</f>
        <v>veuillez cocher les jours de correction avec "x"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jour de carence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exclure jour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21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corrections manuelles</v>
      </c>
      <c r="E56" s="149"/>
      <c r="F56" s="150" t="str">
        <f>H_Label!B298</f>
        <v>heures payées se année passée</v>
      </c>
      <c r="G56" s="150"/>
      <c r="H56" s="150"/>
      <c r="I56" s="150"/>
      <c r="J56" s="150"/>
      <c r="K56" s="835"/>
      <c r="L56" s="836"/>
      <c r="M56" s="837"/>
      <c r="N56" s="148"/>
      <c r="O56" s="148"/>
      <c r="P56" s="150" t="str">
        <f>H_Label!B299</f>
        <v>heures payées année en cours (heures supplémentaires)</v>
      </c>
      <c r="Q56" s="148"/>
      <c r="R56" s="148"/>
      <c r="S56" s="148"/>
      <c r="T56" s="148"/>
      <c r="U56" s="148"/>
      <c r="V56" s="148"/>
      <c r="W56" s="835"/>
      <c r="X56" s="836"/>
      <c r="Y56" s="837"/>
      <c r="Z56" s="148"/>
      <c r="AA56" s="150"/>
      <c r="AB56" s="148"/>
      <c r="AC56" s="148"/>
      <c r="AD56" s="150" t="str">
        <f>H_Label!B300</f>
        <v>vacances avoir / déduction</v>
      </c>
      <c r="AE56" s="150"/>
      <c r="AF56" s="150"/>
      <c r="AG56" s="150"/>
      <c r="AH56" s="835"/>
      <c r="AI56" s="836"/>
      <c r="AJ56" s="837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remarques</v>
      </c>
      <c r="E58" s="152"/>
      <c r="F58" s="814"/>
      <c r="G58" s="815"/>
      <c r="H58" s="815"/>
      <c r="I58" s="815"/>
      <c r="J58" s="815"/>
      <c r="K58" s="815"/>
      <c r="L58" s="815"/>
      <c r="M58" s="815"/>
      <c r="N58" s="815"/>
      <c r="O58" s="815"/>
      <c r="P58" s="815"/>
      <c r="Q58" s="815"/>
      <c r="R58" s="815"/>
      <c r="S58" s="815"/>
      <c r="T58" s="815"/>
      <c r="U58" s="815"/>
      <c r="V58" s="815"/>
      <c r="W58" s="815"/>
      <c r="X58" s="815"/>
      <c r="Y58" s="815"/>
      <c r="Z58" s="815"/>
      <c r="AA58" s="815"/>
      <c r="AB58" s="815"/>
      <c r="AC58" s="815"/>
      <c r="AD58" s="815"/>
      <c r="AE58" s="815"/>
      <c r="AF58" s="815"/>
      <c r="AG58" s="815"/>
      <c r="AH58" s="815"/>
      <c r="AI58" s="815"/>
      <c r="AJ58" s="816"/>
      <c r="AK58" s="396"/>
    </row>
    <row r="59" spans="1:46" ht="12" customHeight="1" x14ac:dyDescent="0.25">
      <c r="D59" s="153"/>
      <c r="E59" s="153"/>
      <c r="F59" s="817"/>
      <c r="G59" s="818"/>
      <c r="H59" s="818"/>
      <c r="I59" s="818"/>
      <c r="J59" s="818"/>
      <c r="K59" s="818"/>
      <c r="L59" s="818"/>
      <c r="M59" s="818"/>
      <c r="N59" s="818"/>
      <c r="O59" s="818"/>
      <c r="P59" s="818"/>
      <c r="Q59" s="818"/>
      <c r="R59" s="818"/>
      <c r="S59" s="818"/>
      <c r="T59" s="818"/>
      <c r="U59" s="818"/>
      <c r="V59" s="818"/>
      <c r="W59" s="818"/>
      <c r="X59" s="818"/>
      <c r="Y59" s="818"/>
      <c r="Z59" s="818"/>
      <c r="AA59" s="818"/>
      <c r="AB59" s="818"/>
      <c r="AC59" s="818"/>
      <c r="AD59" s="818"/>
      <c r="AE59" s="818"/>
      <c r="AF59" s="818"/>
      <c r="AG59" s="818"/>
      <c r="AH59" s="818"/>
      <c r="AI59" s="818"/>
      <c r="AJ59" s="819"/>
      <c r="AK59" s="396"/>
    </row>
    <row r="60" spans="1:46" ht="12" customHeight="1" x14ac:dyDescent="0.25">
      <c r="D60" s="154"/>
      <c r="E60" s="154"/>
      <c r="F60" s="832"/>
      <c r="G60" s="833"/>
      <c r="H60" s="833"/>
      <c r="I60" s="833"/>
      <c r="J60" s="833"/>
      <c r="K60" s="833"/>
      <c r="L60" s="833"/>
      <c r="M60" s="833"/>
      <c r="N60" s="833"/>
      <c r="O60" s="833"/>
      <c r="P60" s="833"/>
      <c r="Q60" s="833"/>
      <c r="R60" s="833"/>
      <c r="S60" s="833"/>
      <c r="T60" s="833"/>
      <c r="U60" s="833"/>
      <c r="V60" s="833"/>
      <c r="W60" s="833"/>
      <c r="X60" s="833"/>
      <c r="Y60" s="833"/>
      <c r="Z60" s="833"/>
      <c r="AA60" s="833"/>
      <c r="AB60" s="833"/>
      <c r="AC60" s="833"/>
      <c r="AD60" s="833"/>
      <c r="AE60" s="833"/>
      <c r="AF60" s="833"/>
      <c r="AG60" s="833"/>
      <c r="AH60" s="833"/>
      <c r="AI60" s="833"/>
      <c r="AJ60" s="834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J'ai contrôlé les comptes mensuels et vérifié leur exactitude.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09"/>
      <c r="G63" s="809"/>
      <c r="H63" s="809"/>
      <c r="I63" s="809"/>
      <c r="J63" s="809"/>
      <c r="K63" s="809"/>
      <c r="L63" s="809"/>
      <c r="M63" s="809"/>
      <c r="V63" s="809"/>
      <c r="W63" s="809"/>
      <c r="X63" s="809"/>
      <c r="Y63" s="809"/>
      <c r="Z63" s="809"/>
      <c r="AA63" s="809"/>
      <c r="AB63" s="809"/>
      <c r="AC63" s="809"/>
      <c r="AH63" s="809"/>
      <c r="AI63" s="809"/>
      <c r="AJ63" s="809"/>
    </row>
    <row r="64" spans="1:46" ht="15.75" x14ac:dyDescent="0.25">
      <c r="D64" s="156" t="str">
        <f>H_Label!B306</f>
        <v>visa employé</v>
      </c>
      <c r="E64" s="156"/>
      <c r="F64" s="810"/>
      <c r="G64" s="810"/>
      <c r="H64" s="810"/>
      <c r="I64" s="810"/>
      <c r="J64" s="810"/>
      <c r="K64" s="810"/>
      <c r="L64" s="810"/>
      <c r="M64" s="810"/>
      <c r="N64" s="156"/>
      <c r="O64" s="148"/>
      <c r="P64" s="156" t="str">
        <f>H_Label!B307</f>
        <v>visa supérieur hiérarchique</v>
      </c>
      <c r="Q64" s="148"/>
      <c r="R64" s="15"/>
      <c r="S64" s="156"/>
      <c r="T64" s="156"/>
      <c r="U64" s="156"/>
      <c r="V64" s="810"/>
      <c r="W64" s="810"/>
      <c r="X64" s="810"/>
      <c r="Y64" s="810"/>
      <c r="Z64" s="810"/>
      <c r="AA64" s="810"/>
      <c r="AB64" s="810"/>
      <c r="AC64" s="810"/>
      <c r="AD64" s="148"/>
      <c r="AE64" s="15"/>
      <c r="AF64" s="156" t="str">
        <f>H_Label!B308</f>
        <v>date</v>
      </c>
      <c r="AG64" s="15"/>
      <c r="AH64" s="810"/>
      <c r="AI64" s="810"/>
      <c r="AJ64" s="810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eBZV2wCm3lkguTK/p1XYGBi2tecVkCcZuyt9znCQiO+ZztrmfunYjgfm7RxLGg4NNxg9I/S6GJYmALm+uLV8yQ==" saltValue="V/oht17Jvzmz7Yan3Il5Hw==" spinCount="100000" sheet="1" objects="1" scenarios="1"/>
  <mergeCells count="23">
    <mergeCell ref="F63:M64"/>
    <mergeCell ref="V63:AC64"/>
    <mergeCell ref="AH63:AJ64"/>
    <mergeCell ref="K56:M56"/>
    <mergeCell ref="W56:Y56"/>
    <mergeCell ref="AH56:AJ56"/>
    <mergeCell ref="F58:AJ58"/>
    <mergeCell ref="F59:AJ59"/>
    <mergeCell ref="F60:AJ60"/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</mergeCells>
  <conditionalFormatting sqref="D37:AJ37">
    <cfRule type="expression" dxfId="152" priority="14">
      <formula>AND(M_Monat&gt;4,M_Monat&lt;10)</formula>
    </cfRule>
    <cfRule type="expression" dxfId="151" priority="15">
      <formula>M_Monat&gt;=10</formula>
    </cfRule>
  </conditionalFormatting>
  <conditionalFormatting sqref="E15:AK15">
    <cfRule type="expression" dxfId="150" priority="9">
      <formula>E$15=2</formula>
    </cfRule>
  </conditionalFormatting>
  <conditionalFormatting sqref="F17:AJ17">
    <cfRule type="expression" dxfId="149" priority="12">
      <formula>OR(AND(DAY(F$16)&lt;&gt;1,WEEKDAY(F$16,2)&lt;&gt;1),F$14=0)</formula>
    </cfRule>
    <cfRule type="expression" dxfId="148" priority="13">
      <formula>OR(F$15=2,AND(F$14=1,WEEKDAY(F$16,2)=7))</formula>
    </cfRule>
  </conditionalFormatting>
  <conditionalFormatting sqref="F18:AJ21 F23:AJ28 F31:AJ31 F33:AJ34 F36:AJ51 F53:AJ54">
    <cfRule type="expression" dxfId="147" priority="17">
      <formula>F$21="ft"</formula>
    </cfRule>
  </conditionalFormatting>
  <conditionalFormatting sqref="F18:AJ21 F23:AJ29 F31:AJ34 F36:AJ51 F53:AJ54">
    <cfRule type="expression" dxfId="146" priority="8">
      <formula>AND(F$14=0,$B18=0)</formula>
    </cfRule>
  </conditionalFormatting>
  <conditionalFormatting sqref="F28:AJ29 F32:AJ32">
    <cfRule type="expression" dxfId="145" priority="10">
      <formula>OR(WEEKDAY(F$16,2)=7,F$15=2)</formula>
    </cfRule>
  </conditionalFormatting>
  <conditionalFormatting sqref="F36:AJ51 F53:AJ54 F18:AJ21 F23:AJ28 F31:AJ31 F33:AJ34">
    <cfRule type="expression" dxfId="144" priority="16">
      <formula>WEEKDAY(F$18,2)=7</formula>
    </cfRule>
    <cfRule type="expression" dxfId="143" priority="18">
      <formula>WEEKDAY(F$18,2)=6</formula>
    </cfRule>
  </conditionalFormatting>
  <conditionalFormatting sqref="F53:AJ54">
    <cfRule type="containsText" dxfId="142" priority="11" operator="containsText" text="x">
      <formula>NOT(ISERROR(SEARCH("x",F53)))</formula>
    </cfRule>
  </conditionalFormatting>
  <conditionalFormatting sqref="J3:L3">
    <cfRule type="expression" dxfId="141" priority="1">
      <formula>B_fldSaldoVJ=0</formula>
    </cfRule>
  </conditionalFormatting>
  <conditionalFormatting sqref="AB3:AD3">
    <cfRule type="expression" dxfId="138" priority="2">
      <formula>H_fldFerienEndSaldo&lt;0</formula>
    </cfRule>
  </conditionalFormatting>
  <conditionalFormatting sqref="AG18:AJ21 AG23:AJ29 AG31:AJ34 AG36:AJ51 AG53:AJ54">
    <cfRule type="expression" dxfId="137" priority="6">
      <formula>AND(AG$14=0,$B18&lt;&gt;0)</formula>
    </cfRule>
    <cfRule type="expression" dxfId="136" priority="7">
      <formula>AG$15=2</formula>
    </cfRule>
  </conditionalFormatting>
  <conditionalFormatting sqref="AJ17:AJ21 AJ23:AJ29 AJ31:AJ34 AJ36:AJ51 AJ53:AJ54">
    <cfRule type="expression" dxfId="135" priority="5">
      <formula>AK$15="m"</formula>
    </cfRule>
  </conditionalFormatting>
  <dataValidations count="11"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AA050F74-0AA8-4332-AE12-3FB647D6ADA3}">
      <formula1>-4000</formula1>
      <formula2>24</formula2>
    </dataValidation>
    <dataValidation type="custom" operator="greaterThanOrEqual" showErrorMessage="1" errorTitle="Karenztag" error="Zuerst Stunden im Feld &quot;Krankheit&quot; erfassen!" sqref="F53:AJ53" xr:uid="{E6C56703-675C-4D00-AEAF-42DDEDA7C0A4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B1BAA83E-6BCE-4F74-A2F4-6535D8C9FB3F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BAB1EE6A-B0B9-4AD1-A3C5-4B65346A95F9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E8121FF6-AEE7-4E8B-A09B-5615ED411BE6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AB041280-8AE2-4C47-A6F3-F99545967037}"/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0ED6DDBA-D7D6-438A-8A67-97A6085E71BC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05569473-BFBF-4C34-8361-5F2FFD774085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BF8FFA57-BA8D-430C-B33E-639398197D34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924C0390-EAAD-45F2-9ABB-0CD1EE4E8064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9:AK50" xr:uid="{5CDC4D2C-D181-4595-B167-91CF28EEA5CF}">
      <formula1>-4000</formula1>
    </dataValidation>
  </dataValidations>
  <hyperlinks>
    <hyperlink ref="AJ12" location="Jahresauswertung!H3" display="." xr:uid="{64F07C32-EBF0-457F-A22A-5A1D4D02F4F0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11893FA-D42F-4FD5-8E85-27658E722CDA}">
            <xm:f>'report annuel'!$X$34=0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B4490A8A-18EF-4CAA-9417-C8625C5C680E}">
            <xm:f>'report annuel'!$X$34&lt;0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D07CE-27F9-456E-8FC6-597AA6BEAFEF}">
  <sheetPr codeName="ts06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"/>
      <selection pane="bottomLeft" activeCell="R27" sqref="R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13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13"/>
      <c r="F3" s="550" t="str">
        <f>H_Label!B32</f>
        <v>heures année passée</v>
      </c>
      <c r="G3" s="551"/>
      <c r="H3" s="551"/>
      <c r="I3" s="551"/>
      <c r="J3" s="812" t="str">
        <f>TEXT('report annuel'!$X$34,"0.00")&amp;" / "&amp;TEXT(B_fldSaldoVJ,"0.00")</f>
        <v>0.00 / 0.00</v>
      </c>
      <c r="K3" s="812"/>
      <c r="L3" s="812"/>
      <c r="M3" s="552"/>
      <c r="N3" s="552"/>
      <c r="O3" s="550" t="str">
        <f>H_Label!B33</f>
        <v>heures année en cours</v>
      </c>
      <c r="P3" s="551"/>
      <c r="Q3" s="551"/>
      <c r="R3" s="551"/>
      <c r="S3" s="551"/>
      <c r="T3" s="831">
        <f>'report annuel'!$AD$43</f>
        <v>-2016</v>
      </c>
      <c r="U3" s="831"/>
      <c r="V3" s="831"/>
      <c r="W3" s="552"/>
      <c r="X3" s="552"/>
      <c r="Y3" s="550" t="str">
        <f>H_Label!B34</f>
        <v>se des vacences</v>
      </c>
      <c r="Z3" s="551"/>
      <c r="AA3" s="551"/>
      <c r="AB3" s="812" t="str">
        <f ca="1">TEXT(H_fldFerienEndSaldo,"0.00")&amp;" / "&amp;TEXT(H_fldFerienSaldoKORR,"0.00")</f>
        <v>176.00 / 176.00</v>
      </c>
      <c r="AC3" s="812"/>
      <c r="AD3" s="812"/>
      <c r="AF3" s="148"/>
      <c r="AG3" s="148"/>
      <c r="AH3" s="148"/>
      <c r="AI3" s="148"/>
      <c r="AJ3" s="148"/>
    </row>
    <row r="4" spans="1:46" ht="13.5" customHeight="1" x14ac:dyDescent="0.25">
      <c r="D4" s="813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taux d'occupation réel</v>
      </c>
      <c r="AH5" s="527"/>
      <c r="AI5" s="830">
        <f>AN54</f>
        <v>1</v>
      </c>
      <c r="AJ5" s="830"/>
      <c r="AK5" s="388"/>
    </row>
    <row r="6" spans="1:46" ht="27.95" customHeight="1" x14ac:dyDescent="0.25">
      <c r="D6" s="174" t="str">
        <f>H_Label!$B$221 &amp;" "&amp;TEXT('fiche du personnel'!$U$1,"JJJJ")</f>
        <v>Contrôle des heures de travail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28" t="str">
        <f>'fiche du personnel'!$G$3</f>
        <v>Peinture Exemple SA</v>
      </c>
      <c r="Z6" s="828"/>
      <c r="AA6" s="828"/>
      <c r="AB6" s="828"/>
      <c r="AC6" s="828"/>
      <c r="AD6" s="828"/>
      <c r="AE6" s="828"/>
      <c r="AF6" s="828"/>
      <c r="AG6" s="828"/>
      <c r="AH6" s="828"/>
      <c r="AI6" s="828"/>
      <c r="AJ6" s="829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employé</v>
      </c>
      <c r="E8" s="31"/>
      <c r="F8" s="820" t="str">
        <f>'fiche du personnel'!$G$6</f>
        <v>Martin Dupont</v>
      </c>
      <c r="G8" s="821"/>
      <c r="H8" s="821"/>
      <c r="I8" s="821"/>
      <c r="J8" s="821"/>
      <c r="K8" s="822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occupation (%)</v>
      </c>
      <c r="E9" s="374"/>
      <c r="F9" s="823" cm="1">
        <f t="array" ref="F9">SUMPRODUCT((H_tblBGMnt=M_Monat)*H_tblBGavg)</f>
        <v>100</v>
      </c>
      <c r="G9" s="824"/>
      <c r="H9" s="825" t="str">
        <f>H_Label!B224&amp;" "&amp;D12</f>
        <v>en juin</v>
      </c>
      <c r="I9" s="826"/>
      <c r="J9" s="826"/>
      <c r="K9" s="827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se pour l'année</v>
      </c>
      <c r="E10" s="89"/>
      <c r="F10" s="838">
        <f>DATE(A_Jahr,AM13,1)</f>
        <v>46174</v>
      </c>
      <c r="G10" s="839"/>
      <c r="H10" s="840">
        <f>'report annuel'!AF42</f>
        <v>-2016</v>
      </c>
      <c r="I10" s="841"/>
      <c r="J10" s="841"/>
      <c r="K10" s="842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11" t="s">
        <v>501</v>
      </c>
      <c r="D12" s="494" t="str">
        <f>TEXT($F$10,"MMMM"&amp;H_Label!$B$23)</f>
        <v>juin</v>
      </c>
      <c r="E12" s="375"/>
      <c r="F12" s="843" t="str">
        <f>H_Label!B231</f>
        <v>se mois + / -</v>
      </c>
      <c r="G12" s="844"/>
      <c r="H12" s="844"/>
      <c r="I12" s="845"/>
      <c r="J12" s="846" cm="1">
        <f t="array" ref="J12">INDEX(H_dMNTCurrentSaldo,1,M_Monat)</f>
        <v>-176</v>
      </c>
      <c r="K12" s="847"/>
      <c r="L12" s="157"/>
      <c r="M12" s="158"/>
      <c r="N12" s="202"/>
      <c r="O12" s="159" t="str">
        <f>H_Label!B240</f>
        <v xml:space="preserve"> = </v>
      </c>
      <c r="P12" s="151" t="str">
        <f>H_Label!B241</f>
        <v>seules les cases/champs jaunes sont saisissables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11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6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11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1</v>
      </c>
      <c r="AI14" s="410">
        <f t="shared" si="0"/>
        <v>1</v>
      </c>
      <c r="AJ14" s="411">
        <f t="shared" si="0"/>
        <v>0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11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3</v>
      </c>
      <c r="AH15" s="418">
        <f t="shared" si="1"/>
        <v>3</v>
      </c>
      <c r="AI15" s="418">
        <f t="shared" si="1"/>
        <v>2</v>
      </c>
      <c r="AJ15" s="419">
        <f t="shared" si="1"/>
        <v>1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46174</v>
      </c>
      <c r="G16" s="422">
        <f>F$16+1</f>
        <v>46175</v>
      </c>
      <c r="H16" s="422">
        <f t="shared" ref="H16:AJ16" si="2">G$16+1</f>
        <v>46176</v>
      </c>
      <c r="I16" s="422">
        <f t="shared" si="2"/>
        <v>46177</v>
      </c>
      <c r="J16" s="422">
        <f t="shared" si="2"/>
        <v>46178</v>
      </c>
      <c r="K16" s="422">
        <f t="shared" si="2"/>
        <v>46179</v>
      </c>
      <c r="L16" s="423">
        <f t="shared" si="2"/>
        <v>46180</v>
      </c>
      <c r="M16" s="423">
        <f t="shared" si="2"/>
        <v>46181</v>
      </c>
      <c r="N16" s="424">
        <f t="shared" si="2"/>
        <v>46182</v>
      </c>
      <c r="O16" s="425">
        <f t="shared" si="2"/>
        <v>46183</v>
      </c>
      <c r="P16" s="425">
        <f t="shared" si="2"/>
        <v>46184</v>
      </c>
      <c r="Q16" s="425">
        <f t="shared" si="2"/>
        <v>46185</v>
      </c>
      <c r="R16" s="425">
        <f t="shared" si="2"/>
        <v>46186</v>
      </c>
      <c r="S16" s="425">
        <f t="shared" si="2"/>
        <v>46187</v>
      </c>
      <c r="T16" s="425">
        <f t="shared" si="2"/>
        <v>46188</v>
      </c>
      <c r="U16" s="425">
        <f t="shared" si="2"/>
        <v>46189</v>
      </c>
      <c r="V16" s="425">
        <f t="shared" si="2"/>
        <v>46190</v>
      </c>
      <c r="W16" s="425">
        <f t="shared" si="2"/>
        <v>46191</v>
      </c>
      <c r="X16" s="425">
        <f t="shared" si="2"/>
        <v>46192</v>
      </c>
      <c r="Y16" s="425">
        <f t="shared" si="2"/>
        <v>46193</v>
      </c>
      <c r="Z16" s="425">
        <f t="shared" si="2"/>
        <v>46194</v>
      </c>
      <c r="AA16" s="425">
        <f t="shared" si="2"/>
        <v>46195</v>
      </c>
      <c r="AB16" s="425">
        <f t="shared" si="2"/>
        <v>46196</v>
      </c>
      <c r="AC16" s="425">
        <f t="shared" si="2"/>
        <v>46197</v>
      </c>
      <c r="AD16" s="425">
        <f t="shared" si="2"/>
        <v>46198</v>
      </c>
      <c r="AE16" s="425">
        <f t="shared" si="2"/>
        <v>46199</v>
      </c>
      <c r="AF16" s="426">
        <f t="shared" si="2"/>
        <v>46200</v>
      </c>
      <c r="AG16" s="426">
        <f t="shared" si="2"/>
        <v>46201</v>
      </c>
      <c r="AH16" s="426">
        <f t="shared" si="2"/>
        <v>46202</v>
      </c>
      <c r="AI16" s="426">
        <f t="shared" si="2"/>
        <v>46203</v>
      </c>
      <c r="AJ16" s="427">
        <f t="shared" si="2"/>
        <v>46204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semaine civile</v>
      </c>
      <c r="E17" s="291"/>
      <c r="F17" s="205">
        <f>WEEKNUM(F$16,21)</f>
        <v>23</v>
      </c>
      <c r="G17" s="203">
        <f t="shared" ref="G17:AJ17" si="3">WEEKNUM(G$16,21)</f>
        <v>23</v>
      </c>
      <c r="H17" s="203">
        <f t="shared" si="3"/>
        <v>23</v>
      </c>
      <c r="I17" s="203">
        <f t="shared" si="3"/>
        <v>23</v>
      </c>
      <c r="J17" s="203">
        <f t="shared" si="3"/>
        <v>23</v>
      </c>
      <c r="K17" s="203">
        <f t="shared" si="3"/>
        <v>23</v>
      </c>
      <c r="L17" s="203">
        <f t="shared" si="3"/>
        <v>23</v>
      </c>
      <c r="M17" s="203">
        <f t="shared" si="3"/>
        <v>24</v>
      </c>
      <c r="N17" s="203">
        <f t="shared" si="3"/>
        <v>24</v>
      </c>
      <c r="O17" s="203">
        <f t="shared" si="3"/>
        <v>24</v>
      </c>
      <c r="P17" s="203">
        <f t="shared" si="3"/>
        <v>24</v>
      </c>
      <c r="Q17" s="203">
        <f t="shared" si="3"/>
        <v>24</v>
      </c>
      <c r="R17" s="203">
        <f t="shared" si="3"/>
        <v>24</v>
      </c>
      <c r="S17" s="203">
        <f t="shared" si="3"/>
        <v>24</v>
      </c>
      <c r="T17" s="203">
        <f t="shared" si="3"/>
        <v>25</v>
      </c>
      <c r="U17" s="203">
        <f t="shared" si="3"/>
        <v>25</v>
      </c>
      <c r="V17" s="203">
        <f t="shared" si="3"/>
        <v>25</v>
      </c>
      <c r="W17" s="203">
        <f t="shared" si="3"/>
        <v>25</v>
      </c>
      <c r="X17" s="203">
        <f t="shared" si="3"/>
        <v>25</v>
      </c>
      <c r="Y17" s="203">
        <f t="shared" si="3"/>
        <v>25</v>
      </c>
      <c r="Z17" s="203">
        <f t="shared" si="3"/>
        <v>25</v>
      </c>
      <c r="AA17" s="203">
        <f t="shared" si="3"/>
        <v>26</v>
      </c>
      <c r="AB17" s="203">
        <f t="shared" si="3"/>
        <v>26</v>
      </c>
      <c r="AC17" s="203">
        <f t="shared" si="3"/>
        <v>26</v>
      </c>
      <c r="AD17" s="203">
        <f t="shared" si="3"/>
        <v>26</v>
      </c>
      <c r="AE17" s="203">
        <f t="shared" si="3"/>
        <v>26</v>
      </c>
      <c r="AF17" s="203">
        <f t="shared" si="3"/>
        <v>26</v>
      </c>
      <c r="AG17" s="203">
        <f t="shared" si="3"/>
        <v>26</v>
      </c>
      <c r="AH17" s="203">
        <f t="shared" si="3"/>
        <v>27</v>
      </c>
      <c r="AI17" s="203">
        <f t="shared" si="3"/>
        <v>27</v>
      </c>
      <c r="AJ17" s="204">
        <f t="shared" si="3"/>
        <v>27</v>
      </c>
      <c r="AK17" s="398"/>
      <c r="AL17" s="114" cm="1">
        <f t="array" ref="AL17">SUM(IF(FREQUENCY(F17:AJ17,F17:AJ17)&gt;0,1))</f>
        <v>5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46174</v>
      </c>
      <c r="G18" s="28">
        <f t="shared" ref="G18:AJ18" si="4">IF(G14,G16,0)</f>
        <v>46175</v>
      </c>
      <c r="H18" s="27">
        <f t="shared" si="4"/>
        <v>46176</v>
      </c>
      <c r="I18" s="27">
        <f t="shared" si="4"/>
        <v>46177</v>
      </c>
      <c r="J18" s="27">
        <f t="shared" si="4"/>
        <v>46178</v>
      </c>
      <c r="K18" s="27">
        <f t="shared" si="4"/>
        <v>46179</v>
      </c>
      <c r="L18" s="27">
        <f t="shared" si="4"/>
        <v>46180</v>
      </c>
      <c r="M18" s="27">
        <f t="shared" si="4"/>
        <v>46181</v>
      </c>
      <c r="N18" s="27">
        <f t="shared" si="4"/>
        <v>46182</v>
      </c>
      <c r="O18" s="27">
        <f t="shared" si="4"/>
        <v>46183</v>
      </c>
      <c r="P18" s="27">
        <f t="shared" si="4"/>
        <v>46184</v>
      </c>
      <c r="Q18" s="27">
        <f t="shared" si="4"/>
        <v>46185</v>
      </c>
      <c r="R18" s="27">
        <f t="shared" si="4"/>
        <v>46186</v>
      </c>
      <c r="S18" s="27">
        <f t="shared" si="4"/>
        <v>46187</v>
      </c>
      <c r="T18" s="27">
        <f t="shared" si="4"/>
        <v>46188</v>
      </c>
      <c r="U18" s="27">
        <f t="shared" si="4"/>
        <v>46189</v>
      </c>
      <c r="V18" s="27">
        <f t="shared" si="4"/>
        <v>46190</v>
      </c>
      <c r="W18" s="27">
        <f t="shared" si="4"/>
        <v>46191</v>
      </c>
      <c r="X18" s="27">
        <f t="shared" si="4"/>
        <v>46192</v>
      </c>
      <c r="Y18" s="27">
        <f t="shared" si="4"/>
        <v>46193</v>
      </c>
      <c r="Z18" s="27">
        <f t="shared" si="4"/>
        <v>46194</v>
      </c>
      <c r="AA18" s="27">
        <f t="shared" si="4"/>
        <v>46195</v>
      </c>
      <c r="AB18" s="27">
        <f t="shared" si="4"/>
        <v>46196</v>
      </c>
      <c r="AC18" s="27">
        <f t="shared" si="4"/>
        <v>46197</v>
      </c>
      <c r="AD18" s="27">
        <f t="shared" si="4"/>
        <v>46198</v>
      </c>
      <c r="AE18" s="27">
        <f t="shared" si="4"/>
        <v>46199</v>
      </c>
      <c r="AF18" s="27">
        <f t="shared" si="4"/>
        <v>46200</v>
      </c>
      <c r="AG18" s="27">
        <f t="shared" si="4"/>
        <v>46201</v>
      </c>
      <c r="AH18" s="27">
        <f t="shared" si="4"/>
        <v>46202</v>
      </c>
      <c r="AI18" s="198">
        <f t="shared" si="4"/>
        <v>46203</v>
      </c>
      <c r="AJ18" s="198">
        <f t="shared" si="4"/>
        <v>0</v>
      </c>
      <c r="AK18" s="399"/>
      <c r="AL18" s="115">
        <f>_xlfn.DAYS(EOMONTH($F$18,0),$F$18)+1</f>
        <v>30</v>
      </c>
      <c r="AM18" s="287">
        <f>AL19*A_fldSollTagStd</f>
        <v>176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lun.</v>
      </c>
      <c r="G19" s="92" t="str">
        <f>IF(G14=1,TEXT(G$18,H_Label!$B$24&amp;"TTT"),0)</f>
        <v>mar.</v>
      </c>
      <c r="H19" s="92" t="str">
        <f>IF(H14=1,TEXT(H$18,H_Label!$B$24&amp;"TTT"),0)</f>
        <v>mer.</v>
      </c>
      <c r="I19" s="92" t="str">
        <f>IF(I14=1,TEXT(I$18,H_Label!$B$24&amp;"TTT"),0)</f>
        <v>jeu.</v>
      </c>
      <c r="J19" s="92" t="str">
        <f>IF(J14=1,TEXT(J$18,H_Label!$B$24&amp;"TTT"),0)</f>
        <v>ven.</v>
      </c>
      <c r="K19" s="92" t="str">
        <f>IF(K14=1,TEXT(K$18,H_Label!$B$24&amp;"TTT"),0)</f>
        <v>sam.</v>
      </c>
      <c r="L19" s="92" t="str">
        <f>IF(L14=1,TEXT(L$18,H_Label!$B$24&amp;"TTT"),0)</f>
        <v>dim.</v>
      </c>
      <c r="M19" s="92" t="str">
        <f>IF(M14=1,TEXT(M$18,H_Label!$B$24&amp;"TTT"),0)</f>
        <v>lun.</v>
      </c>
      <c r="N19" s="92" t="str">
        <f>IF(N14=1,TEXT(N$18,H_Label!$B$24&amp;"TTT"),0)</f>
        <v>mar.</v>
      </c>
      <c r="O19" s="92" t="str">
        <f>IF(O14=1,TEXT(O$18,H_Label!$B$24&amp;"TTT"),0)</f>
        <v>mer.</v>
      </c>
      <c r="P19" s="92" t="str">
        <f>IF(P14=1,TEXT(P$18,H_Label!$B$24&amp;"TTT"),0)</f>
        <v>jeu.</v>
      </c>
      <c r="Q19" s="92" t="str">
        <f>IF(Q14=1,TEXT(Q$18,H_Label!$B$24&amp;"TTT"),0)</f>
        <v>ven.</v>
      </c>
      <c r="R19" s="92" t="str">
        <f>IF(R14=1,TEXT(R$18,H_Label!$B$24&amp;"TTT"),0)</f>
        <v>sam.</v>
      </c>
      <c r="S19" s="92" t="str">
        <f>IF(S14=1,TEXT(S$18,H_Label!$B$24&amp;"TTT"),0)</f>
        <v>dim.</v>
      </c>
      <c r="T19" s="92" t="str">
        <f>IF(T14=1,TEXT(T$18,H_Label!$B$24&amp;"TTT"),0)</f>
        <v>lun.</v>
      </c>
      <c r="U19" s="92" t="str">
        <f>IF(U14=1,TEXT(U$18,H_Label!$B$24&amp;"TTT"),0)</f>
        <v>mar.</v>
      </c>
      <c r="V19" s="92" t="str">
        <f>IF(V14=1,TEXT(V$18,H_Label!$B$24&amp;"TTT"),0)</f>
        <v>mer.</v>
      </c>
      <c r="W19" s="92" t="str">
        <f>IF(W14=1,TEXT(W$18,H_Label!$B$24&amp;"TTT"),0)</f>
        <v>jeu.</v>
      </c>
      <c r="X19" s="92" t="str">
        <f>IF(X14=1,TEXT(X$18,H_Label!$B$24&amp;"TTT"),0)</f>
        <v>ven.</v>
      </c>
      <c r="Y19" s="92" t="str">
        <f>IF(Y14=1,TEXT(Y$18,H_Label!$B$24&amp;"TTT"),0)</f>
        <v>sam.</v>
      </c>
      <c r="Z19" s="92" t="str">
        <f>IF(Z14=1,TEXT(Z$18,H_Label!$B$24&amp;"TTT"),0)</f>
        <v>dim.</v>
      </c>
      <c r="AA19" s="92" t="str">
        <f>IF(AA14=1,TEXT(AA$18,H_Label!$B$24&amp;"TTT"),0)</f>
        <v>lun.</v>
      </c>
      <c r="AB19" s="92" t="str">
        <f>IF(AB14=1,TEXT(AB$18,H_Label!$B$24&amp;"TTT"),0)</f>
        <v>mar.</v>
      </c>
      <c r="AC19" s="92" t="str">
        <f>IF(AC14=1,TEXT(AC$18,H_Label!$B$24&amp;"TTT"),0)</f>
        <v>mer.</v>
      </c>
      <c r="AD19" s="92" t="str">
        <f>IF(AD14=1,TEXT(AD$18,H_Label!$B$24&amp;"TTT"),0)</f>
        <v>jeu.</v>
      </c>
      <c r="AE19" s="92" t="str">
        <f>IF(AE14=1,TEXT(AE$18,H_Label!$B$24&amp;"TTT"),0)</f>
        <v>ven.</v>
      </c>
      <c r="AF19" s="92" t="str">
        <f>IF(AF14=1,TEXT(AF$18,H_Label!$B$24&amp;"TTT"),0)</f>
        <v>sam.</v>
      </c>
      <c r="AG19" s="92" t="str">
        <f>IF(AG14=1,TEXT(AG$18,H_Label!$B$24&amp;"TTT"),0)</f>
        <v>dim.</v>
      </c>
      <c r="AH19" s="92" t="str">
        <f>IF(AH14=1,TEXT(AH$18,H_Label!$B$24&amp;"TTT"),0)</f>
        <v>lun.</v>
      </c>
      <c r="AI19" s="92" t="str">
        <f>IF(AI14=1,TEXT(AI$18,H_Label!$B$24&amp;"TTT"),0)</f>
        <v>mar.</v>
      </c>
      <c r="AJ19" s="92">
        <f>IF(AJ14=1,TEXT(AJ$18,H_Label!$B$24&amp;"TTT"),0)</f>
        <v>0</v>
      </c>
      <c r="AK19" s="400"/>
      <c r="AL19" s="117">
        <f>NETWORKDAYS($F$18,EOMONTH($F$18,0))</f>
        <v>22</v>
      </c>
      <c r="AM19" s="288">
        <f>SUM(F20:AJ20)</f>
        <v>176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heures théorique</v>
      </c>
      <c r="E20" s="19"/>
      <c r="F20" s="26" cm="1">
        <f t="array" ref="F20">IF(OR(F14=0,F54="x"),0,A_fldSollTagStd*SUMPRODUCT((H_tblBGTage=WEEKDAY(F16,2))*(H_tblBGMnt=M_Monat)*H_tblBG%))</f>
        <v>8</v>
      </c>
      <c r="G20" s="26" cm="1">
        <f t="array" ref="G20">IF(OR(G14=0,G54="x"),0,A_fldSollTagStd*SUMPRODUCT((H_tblBGTage=WEEKDAY(G16,2))*(H_tblBGMnt=M_Monat)*H_tblBG%))</f>
        <v>8</v>
      </c>
      <c r="H20" s="26" cm="1">
        <f t="array" ref="H20">IF(OR(H14=0,H54="x"),0,A_fldSollTagStd*SUMPRODUCT((H_tblBGTage=WEEKDAY(H16,2))*(H_tblBGMnt=M_Monat)*H_tblBG%))</f>
        <v>8</v>
      </c>
      <c r="I20" s="26" cm="1">
        <f t="array" ref="I20">IF(OR(I14=0,I54="x"),0,A_fldSollTagStd*SUMPRODUCT((H_tblBGTage=WEEKDAY(I16,2))*(H_tblBGMnt=M_Monat)*H_tblBG%))</f>
        <v>8</v>
      </c>
      <c r="J20" s="26" cm="1">
        <f t="array" ref="J20">IF(OR(J14=0,J54="x"),0,A_fldSollTagStd*SUMPRODUCT((H_tblBGTage=WEEKDAY(J16,2))*(H_tblBGMnt=M_Monat)*H_tblBG%))</f>
        <v>8</v>
      </c>
      <c r="K20" s="26" cm="1">
        <f t="array" ref="K20">IF(OR(K14=0,K54="x"),0,A_fldSollTagStd*SUMPRODUCT((H_tblBGTage=WEEKDAY(K16,2))*(H_tblBGMnt=M_Monat)*H_tblBG%))</f>
        <v>0</v>
      </c>
      <c r="L20" s="26" cm="1">
        <f t="array" ref="L20">IF(OR(L14=0,L54="x"),0,A_fldSollTagStd*SUMPRODUCT((H_tblBGTage=WEEKDAY(L16,2))*(H_tblBGMnt=M_Monat)*H_tblBG%))</f>
        <v>0</v>
      </c>
      <c r="M20" s="26" cm="1">
        <f t="array" ref="M20">IF(OR(M14=0,M54="x"),0,A_fldSollTagStd*SUMPRODUCT((H_tblBGTage=WEEKDAY(M16,2))*(H_tblBGMnt=M_Monat)*H_tblBG%))</f>
        <v>8</v>
      </c>
      <c r="N20" s="26" cm="1">
        <f t="array" ref="N20">IF(OR(N14=0,N54="x"),0,A_fldSollTagStd*SUMPRODUCT((H_tblBGTage=WEEKDAY(N16,2))*(H_tblBGMnt=M_Monat)*H_tblBG%))</f>
        <v>8</v>
      </c>
      <c r="O20" s="26" cm="1">
        <f t="array" ref="O20">IF(OR(O14=0,O54="x"),0,A_fldSollTagStd*SUMPRODUCT((H_tblBGTage=WEEKDAY(O16,2))*(H_tblBGMnt=M_Monat)*H_tblBG%))</f>
        <v>8</v>
      </c>
      <c r="P20" s="26" cm="1">
        <f t="array" ref="P20">IF(OR(P14=0,P54="x"),0,A_fldSollTagStd*SUMPRODUCT((H_tblBGTage=WEEKDAY(P16,2))*(H_tblBGMnt=M_Monat)*H_tblBG%))</f>
        <v>8</v>
      </c>
      <c r="Q20" s="26" cm="1">
        <f t="array" ref="Q20">IF(OR(Q14=0,Q54="x"),0,A_fldSollTagStd*SUMPRODUCT((H_tblBGTage=WEEKDAY(Q16,2))*(H_tblBGMnt=M_Monat)*H_tblBG%))</f>
        <v>8</v>
      </c>
      <c r="R20" s="26" cm="1">
        <f t="array" ref="R20">IF(OR(R14=0,R54="x"),0,A_fldSollTagStd*SUMPRODUCT((H_tblBGTage=WEEKDAY(R16,2))*(H_tblBGMnt=M_Monat)*H_tblBG%))</f>
        <v>0</v>
      </c>
      <c r="S20" s="26" cm="1">
        <f t="array" ref="S20">IF(OR(S14=0,S54="x"),0,A_fldSollTagStd*SUMPRODUCT((H_tblBGTage=WEEKDAY(S16,2))*(H_tblBGMnt=M_Monat)*H_tblBG%))</f>
        <v>0</v>
      </c>
      <c r="T20" s="26" cm="1">
        <f t="array" ref="T20">IF(OR(T14=0,T54="x"),0,A_fldSollTagStd*SUMPRODUCT((H_tblBGTage=WEEKDAY(T16,2))*(H_tblBGMnt=M_Monat)*H_tblBG%))</f>
        <v>8</v>
      </c>
      <c r="U20" s="26" cm="1">
        <f t="array" ref="U20">IF(OR(U14=0,U54="x"),0,A_fldSollTagStd*SUMPRODUCT((H_tblBGTage=WEEKDAY(U16,2))*(H_tblBGMnt=M_Monat)*H_tblBG%))</f>
        <v>8</v>
      </c>
      <c r="V20" s="26" cm="1">
        <f t="array" ref="V20">IF(OR(V14=0,V54="x"),0,A_fldSollTagStd*SUMPRODUCT((H_tblBGTage=WEEKDAY(V16,2))*(H_tblBGMnt=M_Monat)*H_tblBG%))</f>
        <v>8</v>
      </c>
      <c r="W20" s="26" cm="1">
        <f t="array" ref="W20">IF(OR(W14=0,W54="x"),0,A_fldSollTagStd*SUMPRODUCT((H_tblBGTage=WEEKDAY(W16,2))*(H_tblBGMnt=M_Monat)*H_tblBG%))</f>
        <v>8</v>
      </c>
      <c r="X20" s="26" cm="1">
        <f t="array" ref="X20">IF(OR(X14=0,X54="x"),0,A_fldSollTagStd*SUMPRODUCT((H_tblBGTage=WEEKDAY(X16,2))*(H_tblBGMnt=M_Monat)*H_tblBG%))</f>
        <v>8</v>
      </c>
      <c r="Y20" s="26" cm="1">
        <f t="array" ref="Y20">IF(OR(Y14=0,Y54="x"),0,A_fldSollTagStd*SUMPRODUCT((H_tblBGTage=WEEKDAY(Y16,2))*(H_tblBGMnt=M_Monat)*H_tblBG%))</f>
        <v>0</v>
      </c>
      <c r="Z20" s="26" cm="1">
        <f t="array" ref="Z20">IF(OR(Z14=0,Z54="x"),0,A_fldSollTagStd*SUMPRODUCT((H_tblBGTage=WEEKDAY(Z16,2))*(H_tblBGMnt=M_Monat)*H_tblBG%))</f>
        <v>0</v>
      </c>
      <c r="AA20" s="26" cm="1">
        <f t="array" ref="AA20">IF(OR(AA14=0,AA54="x"),0,A_fldSollTagStd*SUMPRODUCT((H_tblBGTage=WEEKDAY(AA16,2))*(H_tblBGMnt=M_Monat)*H_tblBG%))</f>
        <v>8</v>
      </c>
      <c r="AB20" s="26" cm="1">
        <f t="array" ref="AB20">IF(OR(AB14=0,AB54="x"),0,A_fldSollTagStd*SUMPRODUCT((H_tblBGTage=WEEKDAY(AB16,2))*(H_tblBGMnt=M_Monat)*H_tblBG%))</f>
        <v>8</v>
      </c>
      <c r="AC20" s="26" cm="1">
        <f t="array" ref="AC20">IF(OR(AC14=0,AC54="x"),0,A_fldSollTagStd*SUMPRODUCT((H_tblBGTage=WEEKDAY(AC16,2))*(H_tblBGMnt=M_Monat)*H_tblBG%))</f>
        <v>8</v>
      </c>
      <c r="AD20" s="26" cm="1">
        <f t="array" ref="AD20">IF(OR(AD14=0,AD54="x"),0,A_fldSollTagStd*SUMPRODUCT((H_tblBGTage=WEEKDAY(AD16,2))*(H_tblBGMnt=M_Monat)*H_tblBG%))</f>
        <v>8</v>
      </c>
      <c r="AE20" s="26" cm="1">
        <f t="array" ref="AE20">IF(OR(AE14=0,AE54="x"),0,A_fldSollTagStd*SUMPRODUCT((H_tblBGTage=WEEKDAY(AE16,2))*(H_tblBGMnt=M_Monat)*H_tblBG%))</f>
        <v>8</v>
      </c>
      <c r="AF20" s="26" cm="1">
        <f t="array" ref="AF20">IF(OR(AF14=0,AF54="x"),0,A_fldSollTagStd*SUMPRODUCT((H_tblBGTage=WEEKDAY(AF16,2))*(H_tblBGMnt=M_Monat)*H_tblBG%))</f>
        <v>0</v>
      </c>
      <c r="AG20" s="26" cm="1">
        <f t="array" ref="AG20">IF(OR(AG14=0,AG54="x"),0,A_fldSollTagStd*SUMPRODUCT((H_tblBGTage=WEEKDAY(AG16,2))*(H_tblBGMnt=M_Monat)*H_tblBG%))</f>
        <v>0</v>
      </c>
      <c r="AH20" s="26" cm="1">
        <f t="array" ref="AH20">IF(OR(AH14=0,AH54="x"),0,A_fldSollTagStd*SUMPRODUCT((H_tblBGTage=WEEKDAY(AH16,2))*(H_tblBGMnt=M_Monat)*H_tblBG%))</f>
        <v>8</v>
      </c>
      <c r="AI20" s="199" cm="1">
        <f t="array" ref="AI20">IF(OR(AI14=0,AI54="x"),0,A_fldSollTagStd*SUMPRODUCT((H_tblBGTage=WEEKDAY(AI16,2))*(H_tblBGMnt=M_Monat)*H_tblBG%))</f>
        <v>8</v>
      </c>
      <c r="AJ20" s="199" cm="1">
        <f t="array" ref="AJ20">IF(OR(AJ14=0,AJ54="x"),0,A_fldSollTagStd*SUMPRODUCT((H_tblBGTage=WEEKDAY(AJ16,2))*(H_tblBGMnt=M_Monat)*H_tblBG%))</f>
        <v>0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jours fériés</v>
      </c>
      <c r="E21" s="20"/>
      <c r="F21" s="195" t="str" cm="1">
        <f t="array" ref="F21">INDEX(H_Calendar!$K$10:$K$375,MATCH(1,INDEX((H_Calendar!$E$10:$E$375=M_Monat)*(H_Calendar!$H$10:$H$375=DAY(F$18)),0,1),0))</f>
        <v/>
      </c>
      <c r="G21" s="195" t="str" cm="1">
        <f t="array" ref="G21">INDEX(H_Calendar!$K$10:$K$375,MATCH(1,INDEX((H_Calendar!$E$10:$E$375=M_Monat)*(H_Calendar!$H$10:$H$375=DAY(G$18)),0,1),0))</f>
        <v/>
      </c>
      <c r="H21" s="195" t="str" cm="1">
        <f t="array" ref="H21">INDEX(H_Calendar!$K$10:$K$375,MATCH(1,INDEX((H_Calendar!$E$10:$E$375=M_Monat)*(H_Calendar!$H$10:$H$375=DAY(H$18)),0,1),0))</f>
        <v/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/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/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/>
      </c>
      <c r="AD21" s="195" t="str" cm="1">
        <f t="array" ref="AD21">INDEX(H_Calendar!$K$10:$K$375,MATCH(1,INDEX((H_Calendar!$E$10:$E$375=M_Monat)*(H_Calendar!$H$10:$H$375=DAY(AD$18)),0,1),0))</f>
        <v/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0</v>
      </c>
      <c r="AM21" s="320">
        <f>COUNTIF(F21:AJ21,"ft")</f>
        <v>0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heures productives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x14ac:dyDescent="0.2">
      <c r="A25" s="252"/>
      <c r="B25" s="438"/>
      <c r="C25" s="252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customHeight="1" x14ac:dyDescent="0.2">
      <c r="A26" s="252"/>
      <c r="B26" s="438"/>
      <c r="C26" s="252">
        <v>4</v>
      </c>
      <c r="D26" s="606" t="str">
        <f>H_Label!B313</f>
        <v>temps de trajet (total)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déduction de temps de trajet = 0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total journalier y c. temp de trajet payé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total hebdomadaire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9" s="143" t="str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juil.</v>
      </c>
      <c r="AJ29" s="144" t="str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/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crédits et majorations</v>
      </c>
      <c r="E30" s="87"/>
      <c r="F30" s="145" t="str">
        <f>H_Label!B264</f>
        <v>1)  25% majoration temporelle pour depassement les heures maximales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majoration temporelle pour travail de nuit</v>
      </c>
      <c r="Q30" s="145"/>
      <c r="R30" s="145"/>
      <c r="S30" s="145"/>
      <c r="T30" s="145"/>
      <c r="U30" s="145"/>
      <c r="V30" s="145"/>
      <c r="W30" s="145" t="str">
        <f>H_Label!B266</f>
        <v>3) 100% majoration temporelle pour travail du dimanche et jour férié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Majoration  "jf"</v>
      </c>
      <c r="E31" s="23"/>
      <c r="F31" s="24">
        <f t="shared" ref="F31:AG31" si="8">IF(F21="ft",F20,0)</f>
        <v>0</v>
      </c>
      <c r="G31" s="24">
        <f t="shared" si="8"/>
        <v>0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0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0</v>
      </c>
      <c r="AD31" s="24">
        <f t="shared" si="8"/>
        <v>0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0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Majorations temp.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>juil.</v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/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Majorations temp.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Majorations temp.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>
        <f>H_Label!B273</f>
        <v>0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vacances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compensation année passée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42" si="11">SUM(F37:AJ37)</f>
        <v>0</v>
      </c>
      <c r="AM37" s="292">
        <f t="shared" ref="AM37:AM42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compensation année en cours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absences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maladie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accident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absences de grossesse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Congé de maternité/paternité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militaire/promotion/protection civile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ref="AL44:AL50" si="13">SUM(F44:AJ44)</f>
        <v>0</v>
      </c>
      <c r="AM44" s="292">
        <f t="shared" ref="AM44:AM50" si="14">COUNT(F44:AJ44)</f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école professionelle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3"/>
        <v>0</v>
      </c>
      <c r="AM45" s="292">
        <f t="shared" si="14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cours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3"/>
        <v>0</v>
      </c>
      <c r="AM46" s="292">
        <f t="shared" si="14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chômage partiel et intempéries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3"/>
        <v>0</v>
      </c>
      <c r="AM47" s="292">
        <f t="shared" si="14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arrêts définis par l'entreprise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3"/>
        <v>0</v>
      </c>
      <c r="AM48" s="292">
        <f t="shared" si="14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vacances non payées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3"/>
        <v>0</v>
      </c>
      <c r="AM49" s="292">
        <f t="shared" si="14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heures manquantes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3"/>
        <v>0</v>
      </c>
      <c r="AM50" s="292">
        <f t="shared" si="14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heures inproductives totales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5">ROUND(SUM(H39:H48),4)</f>
        <v>0</v>
      </c>
      <c r="I51" s="433">
        <f t="shared" si="15"/>
        <v>0</v>
      </c>
      <c r="J51" s="433">
        <f t="shared" si="15"/>
        <v>0</v>
      </c>
      <c r="K51" s="433">
        <f t="shared" si="15"/>
        <v>0</v>
      </c>
      <c r="L51" s="433">
        <f t="shared" si="15"/>
        <v>0</v>
      </c>
      <c r="M51" s="433">
        <f t="shared" si="15"/>
        <v>0</v>
      </c>
      <c r="N51" s="433">
        <f t="shared" si="15"/>
        <v>0</v>
      </c>
      <c r="O51" s="433">
        <f t="shared" si="15"/>
        <v>0</v>
      </c>
      <c r="P51" s="433">
        <f t="shared" si="15"/>
        <v>0</v>
      </c>
      <c r="Q51" s="433">
        <f t="shared" si="15"/>
        <v>0</v>
      </c>
      <c r="R51" s="433">
        <f t="shared" si="15"/>
        <v>0</v>
      </c>
      <c r="S51" s="433">
        <f t="shared" si="15"/>
        <v>0</v>
      </c>
      <c r="T51" s="433">
        <f t="shared" si="15"/>
        <v>0</v>
      </c>
      <c r="U51" s="433">
        <f t="shared" si="15"/>
        <v>0</v>
      </c>
      <c r="V51" s="433">
        <f t="shared" si="15"/>
        <v>0</v>
      </c>
      <c r="W51" s="433">
        <f t="shared" si="15"/>
        <v>0</v>
      </c>
      <c r="X51" s="433">
        <f t="shared" si="15"/>
        <v>0</v>
      </c>
      <c r="Y51" s="433">
        <f t="shared" si="15"/>
        <v>0</v>
      </c>
      <c r="Z51" s="433">
        <f t="shared" si="15"/>
        <v>0</v>
      </c>
      <c r="AA51" s="433">
        <f t="shared" si="15"/>
        <v>0</v>
      </c>
      <c r="AB51" s="433">
        <f t="shared" si="15"/>
        <v>0</v>
      </c>
      <c r="AC51" s="433">
        <f t="shared" si="15"/>
        <v>0</v>
      </c>
      <c r="AD51" s="433">
        <f t="shared" si="15"/>
        <v>0</v>
      </c>
      <c r="AE51" s="433">
        <f t="shared" si="15"/>
        <v>0</v>
      </c>
      <c r="AF51" s="433">
        <f t="shared" si="15"/>
        <v>0</v>
      </c>
      <c r="AG51" s="433">
        <f t="shared" si="15"/>
        <v>0</v>
      </c>
      <c r="AH51" s="433">
        <f t="shared" si="15"/>
        <v>0</v>
      </c>
      <c r="AI51" s="433">
        <f t="shared" si="15"/>
        <v>0</v>
      </c>
      <c r="AJ51" s="434">
        <f t="shared" si="15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contrôle et corrections</v>
      </c>
      <c r="E52" s="87"/>
      <c r="F52" s="146"/>
      <c r="G52" s="147" t="str">
        <f>H_Label!B292</f>
        <v>veuillez cocher les jours de correction avec "x"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jour de carence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exclure jour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22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corrections manuelles</v>
      </c>
      <c r="E56" s="149"/>
      <c r="F56" s="150" t="str">
        <f>H_Label!B298</f>
        <v>heures payées se année passée</v>
      </c>
      <c r="G56" s="150"/>
      <c r="H56" s="150"/>
      <c r="I56" s="150"/>
      <c r="J56" s="150"/>
      <c r="K56" s="835"/>
      <c r="L56" s="836"/>
      <c r="M56" s="837"/>
      <c r="N56" s="148"/>
      <c r="O56" s="148"/>
      <c r="P56" s="150" t="str">
        <f>H_Label!B299</f>
        <v>heures payées année en cours (heures supplémentaires)</v>
      </c>
      <c r="Q56" s="148"/>
      <c r="R56" s="148"/>
      <c r="S56" s="148"/>
      <c r="T56" s="148"/>
      <c r="U56" s="148"/>
      <c r="V56" s="148"/>
      <c r="W56" s="835"/>
      <c r="X56" s="836"/>
      <c r="Y56" s="837"/>
      <c r="Z56" s="148"/>
      <c r="AA56" s="150"/>
      <c r="AB56" s="148"/>
      <c r="AC56" s="148"/>
      <c r="AD56" s="150" t="str">
        <f>H_Label!B300</f>
        <v>vacances avoir / déduction</v>
      </c>
      <c r="AE56" s="150"/>
      <c r="AF56" s="150"/>
      <c r="AG56" s="150"/>
      <c r="AH56" s="835"/>
      <c r="AI56" s="836"/>
      <c r="AJ56" s="837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remarques</v>
      </c>
      <c r="E58" s="152"/>
      <c r="F58" s="814"/>
      <c r="G58" s="815"/>
      <c r="H58" s="815"/>
      <c r="I58" s="815"/>
      <c r="J58" s="815"/>
      <c r="K58" s="815"/>
      <c r="L58" s="815"/>
      <c r="M58" s="815"/>
      <c r="N58" s="815"/>
      <c r="O58" s="815"/>
      <c r="P58" s="815"/>
      <c r="Q58" s="815"/>
      <c r="R58" s="815"/>
      <c r="S58" s="815"/>
      <c r="T58" s="815"/>
      <c r="U58" s="815"/>
      <c r="V58" s="815"/>
      <c r="W58" s="815"/>
      <c r="X58" s="815"/>
      <c r="Y58" s="815"/>
      <c r="Z58" s="815"/>
      <c r="AA58" s="815"/>
      <c r="AB58" s="815"/>
      <c r="AC58" s="815"/>
      <c r="AD58" s="815"/>
      <c r="AE58" s="815"/>
      <c r="AF58" s="815"/>
      <c r="AG58" s="815"/>
      <c r="AH58" s="815"/>
      <c r="AI58" s="815"/>
      <c r="AJ58" s="816"/>
      <c r="AK58" s="396"/>
    </row>
    <row r="59" spans="1:46" ht="12" customHeight="1" x14ac:dyDescent="0.25">
      <c r="D59" s="153"/>
      <c r="E59" s="153"/>
      <c r="F59" s="817"/>
      <c r="G59" s="818"/>
      <c r="H59" s="818"/>
      <c r="I59" s="818"/>
      <c r="J59" s="818"/>
      <c r="K59" s="818"/>
      <c r="L59" s="818"/>
      <c r="M59" s="818"/>
      <c r="N59" s="818"/>
      <c r="O59" s="818"/>
      <c r="P59" s="818"/>
      <c r="Q59" s="818"/>
      <c r="R59" s="818"/>
      <c r="S59" s="818"/>
      <c r="T59" s="818"/>
      <c r="U59" s="818"/>
      <c r="V59" s="818"/>
      <c r="W59" s="818"/>
      <c r="X59" s="818"/>
      <c r="Y59" s="818"/>
      <c r="Z59" s="818"/>
      <c r="AA59" s="818"/>
      <c r="AB59" s="818"/>
      <c r="AC59" s="818"/>
      <c r="AD59" s="818"/>
      <c r="AE59" s="818"/>
      <c r="AF59" s="818"/>
      <c r="AG59" s="818"/>
      <c r="AH59" s="818"/>
      <c r="AI59" s="818"/>
      <c r="AJ59" s="819"/>
      <c r="AK59" s="396"/>
    </row>
    <row r="60" spans="1:46" ht="12" customHeight="1" x14ac:dyDescent="0.25">
      <c r="D60" s="154"/>
      <c r="E60" s="154"/>
      <c r="F60" s="832"/>
      <c r="G60" s="833"/>
      <c r="H60" s="833"/>
      <c r="I60" s="833"/>
      <c r="J60" s="833"/>
      <c r="K60" s="833"/>
      <c r="L60" s="833"/>
      <c r="M60" s="833"/>
      <c r="N60" s="833"/>
      <c r="O60" s="833"/>
      <c r="P60" s="833"/>
      <c r="Q60" s="833"/>
      <c r="R60" s="833"/>
      <c r="S60" s="833"/>
      <c r="T60" s="833"/>
      <c r="U60" s="833"/>
      <c r="V60" s="833"/>
      <c r="W60" s="833"/>
      <c r="X60" s="833"/>
      <c r="Y60" s="833"/>
      <c r="Z60" s="833"/>
      <c r="AA60" s="833"/>
      <c r="AB60" s="833"/>
      <c r="AC60" s="833"/>
      <c r="AD60" s="833"/>
      <c r="AE60" s="833"/>
      <c r="AF60" s="833"/>
      <c r="AG60" s="833"/>
      <c r="AH60" s="833"/>
      <c r="AI60" s="833"/>
      <c r="AJ60" s="834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J'ai contrôlé les comptes mensuels et vérifié leur exactitude.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09"/>
      <c r="G63" s="809"/>
      <c r="H63" s="809"/>
      <c r="I63" s="809"/>
      <c r="J63" s="809"/>
      <c r="K63" s="809"/>
      <c r="L63" s="809"/>
      <c r="M63" s="809"/>
      <c r="V63" s="809"/>
      <c r="W63" s="809"/>
      <c r="X63" s="809"/>
      <c r="Y63" s="809"/>
      <c r="Z63" s="809"/>
      <c r="AA63" s="809"/>
      <c r="AB63" s="809"/>
      <c r="AC63" s="809"/>
      <c r="AH63" s="809"/>
      <c r="AI63" s="809"/>
      <c r="AJ63" s="809"/>
    </row>
    <row r="64" spans="1:46" ht="15.75" x14ac:dyDescent="0.25">
      <c r="D64" s="156" t="str">
        <f>H_Label!B306</f>
        <v>visa employé</v>
      </c>
      <c r="E64" s="156"/>
      <c r="F64" s="810"/>
      <c r="G64" s="810"/>
      <c r="H64" s="810"/>
      <c r="I64" s="810"/>
      <c r="J64" s="810"/>
      <c r="K64" s="810"/>
      <c r="L64" s="810"/>
      <c r="M64" s="810"/>
      <c r="N64" s="156"/>
      <c r="O64" s="148"/>
      <c r="P64" s="156" t="str">
        <f>H_Label!B307</f>
        <v>visa supérieur hiérarchique</v>
      </c>
      <c r="Q64" s="148"/>
      <c r="R64" s="15"/>
      <c r="S64" s="156"/>
      <c r="T64" s="156"/>
      <c r="U64" s="156"/>
      <c r="V64" s="810"/>
      <c r="W64" s="810"/>
      <c r="X64" s="810"/>
      <c r="Y64" s="810"/>
      <c r="Z64" s="810"/>
      <c r="AA64" s="810"/>
      <c r="AB64" s="810"/>
      <c r="AC64" s="810"/>
      <c r="AD64" s="148"/>
      <c r="AE64" s="15"/>
      <c r="AF64" s="156" t="str">
        <f>H_Label!B308</f>
        <v>date</v>
      </c>
      <c r="AG64" s="15"/>
      <c r="AH64" s="810"/>
      <c r="AI64" s="810"/>
      <c r="AJ64" s="810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cQjz05hpLivZOINB9x8TMdrDQEQWfLJ5zz7he8D11m698fKvdKKSoHejBfNIHMR1V9zULUSGqsetCdCD6UGpvw==" saltValue="f0r4MlFJprfO9aD17S78+Q==" spinCount="100000" sheet="1" objects="1" scenarios="1"/>
  <mergeCells count="23">
    <mergeCell ref="F63:M64"/>
    <mergeCell ref="V63:AC64"/>
    <mergeCell ref="AH63:AJ64"/>
    <mergeCell ref="K56:M56"/>
    <mergeCell ref="W56:Y56"/>
    <mergeCell ref="AH56:AJ56"/>
    <mergeCell ref="F58:AJ58"/>
    <mergeCell ref="F59:AJ59"/>
    <mergeCell ref="F60:AJ60"/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</mergeCells>
  <conditionalFormatting sqref="D37:AJ37">
    <cfRule type="expression" dxfId="134" priority="14">
      <formula>AND(M_Monat&gt;4,M_Monat&lt;10)</formula>
    </cfRule>
    <cfRule type="expression" dxfId="133" priority="15">
      <formula>M_Monat&gt;=10</formula>
    </cfRule>
  </conditionalFormatting>
  <conditionalFormatting sqref="E15:AK15">
    <cfRule type="expression" dxfId="132" priority="9">
      <formula>E$15=2</formula>
    </cfRule>
  </conditionalFormatting>
  <conditionalFormatting sqref="F17:AJ17">
    <cfRule type="expression" dxfId="131" priority="12">
      <formula>OR(AND(DAY(F$16)&lt;&gt;1,WEEKDAY(F$16,2)&lt;&gt;1),F$14=0)</formula>
    </cfRule>
    <cfRule type="expression" dxfId="130" priority="13">
      <formula>OR(F$15=2,AND(F$14=1,WEEKDAY(F$16,2)=7))</formula>
    </cfRule>
  </conditionalFormatting>
  <conditionalFormatting sqref="F18:AJ21 F23:AJ28 F31:AJ31 F33:AJ34 F36:AJ51 F53:AJ54">
    <cfRule type="expression" dxfId="129" priority="17">
      <formula>F$21="ft"</formula>
    </cfRule>
  </conditionalFormatting>
  <conditionalFormatting sqref="F18:AJ21 F23:AJ29 F31:AJ34 F36:AJ51 F53:AJ54">
    <cfRule type="expression" dxfId="128" priority="8">
      <formula>AND(F$14=0,$B18=0)</formula>
    </cfRule>
  </conditionalFormatting>
  <conditionalFormatting sqref="F28:AJ29 F32:AJ32">
    <cfRule type="expression" dxfId="127" priority="10">
      <formula>OR(WEEKDAY(F$16,2)=7,F$15=2)</formula>
    </cfRule>
  </conditionalFormatting>
  <conditionalFormatting sqref="F36:AJ51 F53:AJ54 F18:AJ21 F23:AJ28 F31:AJ31 F33:AJ34">
    <cfRule type="expression" dxfId="126" priority="16">
      <formula>WEEKDAY(F$18,2)=7</formula>
    </cfRule>
    <cfRule type="expression" dxfId="125" priority="18">
      <formula>WEEKDAY(F$18,2)=6</formula>
    </cfRule>
  </conditionalFormatting>
  <conditionalFormatting sqref="F53:AJ54">
    <cfRule type="containsText" dxfId="124" priority="11" operator="containsText" text="x">
      <formula>NOT(ISERROR(SEARCH("x",F53)))</formula>
    </cfRule>
  </conditionalFormatting>
  <conditionalFormatting sqref="J3:L3">
    <cfRule type="expression" dxfId="123" priority="1">
      <formula>B_fldSaldoVJ=0</formula>
    </cfRule>
  </conditionalFormatting>
  <conditionalFormatting sqref="AB3:AD3">
    <cfRule type="expression" dxfId="120" priority="2">
      <formula>H_fldFerienEndSaldo&lt;0</formula>
    </cfRule>
  </conditionalFormatting>
  <conditionalFormatting sqref="AG18:AJ21 AG23:AJ29 AG31:AJ34 AG36:AJ51 AG53:AJ54">
    <cfRule type="expression" dxfId="119" priority="6">
      <formula>AND(AG$14=0,$B18&lt;&gt;0)</formula>
    </cfRule>
    <cfRule type="expression" dxfId="118" priority="7">
      <formula>AG$15=2</formula>
    </cfRule>
  </conditionalFormatting>
  <conditionalFormatting sqref="AJ17:AJ21 AJ23:AJ29 AJ31:AJ34 AJ36:AJ51 AJ53:AJ54">
    <cfRule type="expression" dxfId="117" priority="5">
      <formula>AK$15="m"</formula>
    </cfRule>
  </conditionalFormatting>
  <dataValidations count="11"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FEA65C27-738B-4F18-B681-9A3F59F0C8B9}">
      <formula1>-4000</formula1>
      <formula2>24</formula2>
    </dataValidation>
    <dataValidation type="custom" operator="greaterThanOrEqual" showErrorMessage="1" errorTitle="Karenztag" error="Zuerst Stunden im Feld &quot;Krankheit&quot; erfassen!" sqref="F53:AJ53" xr:uid="{1B84B577-9B16-4CA6-8815-D49050344AF3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AE2D40D0-42F1-4550-AFAF-E9FF1E05033A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970F54DA-9092-461C-9FE7-05BD4612767C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5672F63A-5B33-44CC-9CE4-E98A59365E31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4021C3F9-112E-4F09-9836-5C881BC237E9}"/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22B49630-B7AC-4686-9ECA-9A4A6B60F446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6D9DDAE7-09DF-46E2-A774-1CBECC7F46D8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822B93F8-11E0-4BA0-B1C3-5F0F60323271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8CC08687-DAD7-4E27-B198-0C4D1C845E1A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9:AK50" xr:uid="{95CCA099-8F6E-4D08-85F0-217FDD13CCED}">
      <formula1>-4000</formula1>
    </dataValidation>
  </dataValidations>
  <hyperlinks>
    <hyperlink ref="AJ12" location="Jahresauswertung!H3" display="." xr:uid="{B1143929-C2DF-487F-9E47-D30E3252ACC3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574031F-3DCB-463F-BD63-141842F6418D}">
            <xm:f>'report annuel'!$X$34=0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EDE1A7B4-D996-4A14-9085-82459210D680}">
            <xm:f>'report annuel'!$X$34&lt;0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19EB3-4C39-4DE9-9C56-7D14A448D907}">
  <sheetPr codeName="ts07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"/>
      <selection pane="bottomLeft" activeCell="R27" sqref="R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13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13"/>
      <c r="F3" s="550" t="str">
        <f>H_Label!B32</f>
        <v>heures année passée</v>
      </c>
      <c r="G3" s="551"/>
      <c r="H3" s="551"/>
      <c r="I3" s="551"/>
      <c r="J3" s="812" t="str">
        <f>TEXT('report annuel'!$X$34,"0.00")&amp;" / "&amp;TEXT(B_fldSaldoVJ,"0.00")</f>
        <v>0.00 / 0.00</v>
      </c>
      <c r="K3" s="812"/>
      <c r="L3" s="812"/>
      <c r="M3" s="552"/>
      <c r="N3" s="552"/>
      <c r="O3" s="550" t="str">
        <f>H_Label!B33</f>
        <v>heures année en cours</v>
      </c>
      <c r="P3" s="551"/>
      <c r="Q3" s="551"/>
      <c r="R3" s="551"/>
      <c r="S3" s="551"/>
      <c r="T3" s="831">
        <f>'report annuel'!$AD$43</f>
        <v>-2016</v>
      </c>
      <c r="U3" s="831"/>
      <c r="V3" s="831"/>
      <c r="W3" s="552"/>
      <c r="X3" s="552"/>
      <c r="Y3" s="550" t="str">
        <f>H_Label!B34</f>
        <v>se des vacences</v>
      </c>
      <c r="Z3" s="551"/>
      <c r="AA3" s="551"/>
      <c r="AB3" s="812" t="str">
        <f ca="1">TEXT(H_fldFerienEndSaldo,"0.00")&amp;" / "&amp;TEXT(H_fldFerienSaldoKORR,"0.00")</f>
        <v>176.00 / 176.00</v>
      </c>
      <c r="AC3" s="812"/>
      <c r="AD3" s="812"/>
      <c r="AF3" s="148"/>
      <c r="AG3" s="148"/>
      <c r="AH3" s="148"/>
      <c r="AI3" s="148"/>
      <c r="AJ3" s="148"/>
    </row>
    <row r="4" spans="1:46" ht="13.5" customHeight="1" x14ac:dyDescent="0.25">
      <c r="D4" s="813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taux d'occupation réel</v>
      </c>
      <c r="AH5" s="527"/>
      <c r="AI5" s="830">
        <f>AN54</f>
        <v>1</v>
      </c>
      <c r="AJ5" s="830"/>
      <c r="AK5" s="388"/>
    </row>
    <row r="6" spans="1:46" ht="27.95" customHeight="1" x14ac:dyDescent="0.25">
      <c r="D6" s="174" t="str">
        <f>H_Label!$B$221 &amp;" "&amp;TEXT('fiche du personnel'!$U$1,"JJJJ")</f>
        <v>Contrôle des heures de travail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28" t="str">
        <f>'fiche du personnel'!$G$3</f>
        <v>Peinture Exemple SA</v>
      </c>
      <c r="Z6" s="828"/>
      <c r="AA6" s="828"/>
      <c r="AB6" s="828"/>
      <c r="AC6" s="828"/>
      <c r="AD6" s="828"/>
      <c r="AE6" s="828"/>
      <c r="AF6" s="828"/>
      <c r="AG6" s="828"/>
      <c r="AH6" s="828"/>
      <c r="AI6" s="828"/>
      <c r="AJ6" s="829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employé</v>
      </c>
      <c r="E8" s="31"/>
      <c r="F8" s="820" t="str">
        <f>'fiche du personnel'!$G$6</f>
        <v>Martin Dupont</v>
      </c>
      <c r="G8" s="821"/>
      <c r="H8" s="821"/>
      <c r="I8" s="821"/>
      <c r="J8" s="821"/>
      <c r="K8" s="822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occupation (%)</v>
      </c>
      <c r="E9" s="374"/>
      <c r="F9" s="823" cm="1">
        <f t="array" ref="F9">SUMPRODUCT((H_tblBGMnt=M_Monat)*H_tblBGavg)</f>
        <v>100</v>
      </c>
      <c r="G9" s="824"/>
      <c r="H9" s="825" t="str">
        <f>H_Label!B224&amp;" "&amp;D12</f>
        <v>en juillet</v>
      </c>
      <c r="I9" s="826"/>
      <c r="J9" s="826"/>
      <c r="K9" s="827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se pour l'année</v>
      </c>
      <c r="E10" s="89"/>
      <c r="F10" s="838">
        <f>DATE(A_Jahr,AM13,1)</f>
        <v>46204</v>
      </c>
      <c r="G10" s="839"/>
      <c r="H10" s="840">
        <f>'report annuel'!AF42</f>
        <v>-2016</v>
      </c>
      <c r="I10" s="841"/>
      <c r="J10" s="841"/>
      <c r="K10" s="842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11" t="s">
        <v>501</v>
      </c>
      <c r="D12" s="494" t="str">
        <f>TEXT($F$10,"MMMM"&amp;H_Label!$B$23)</f>
        <v>juillet</v>
      </c>
      <c r="E12" s="375"/>
      <c r="F12" s="843" t="str">
        <f>H_Label!B231</f>
        <v>se mois + / -</v>
      </c>
      <c r="G12" s="844"/>
      <c r="H12" s="844"/>
      <c r="I12" s="845"/>
      <c r="J12" s="846" cm="1">
        <f t="array" ref="J12">INDEX(H_dMNTCurrentSaldo,1,M_Monat)</f>
        <v>-184</v>
      </c>
      <c r="K12" s="847"/>
      <c r="L12" s="157"/>
      <c r="M12" s="158"/>
      <c r="N12" s="202"/>
      <c r="O12" s="159" t="str">
        <f>H_Label!B240</f>
        <v xml:space="preserve"> = </v>
      </c>
      <c r="P12" s="151" t="str">
        <f>H_Label!B241</f>
        <v>seules les cases/champs jaunes sont saisissables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11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7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11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1</v>
      </c>
      <c r="AI14" s="410">
        <f t="shared" si="0"/>
        <v>1</v>
      </c>
      <c r="AJ14" s="411">
        <f t="shared" si="0"/>
        <v>1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11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3</v>
      </c>
      <c r="AH15" s="418">
        <f t="shared" si="1"/>
        <v>3</v>
      </c>
      <c r="AI15" s="418">
        <f t="shared" si="1"/>
        <v>3</v>
      </c>
      <c r="AJ15" s="419">
        <f t="shared" si="1"/>
        <v>2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46204</v>
      </c>
      <c r="G16" s="422">
        <f>F$16+1</f>
        <v>46205</v>
      </c>
      <c r="H16" s="422">
        <f t="shared" ref="H16:AJ16" si="2">G$16+1</f>
        <v>46206</v>
      </c>
      <c r="I16" s="422">
        <f t="shared" si="2"/>
        <v>46207</v>
      </c>
      <c r="J16" s="422">
        <f t="shared" si="2"/>
        <v>46208</v>
      </c>
      <c r="K16" s="422">
        <f t="shared" si="2"/>
        <v>46209</v>
      </c>
      <c r="L16" s="423">
        <f t="shared" si="2"/>
        <v>46210</v>
      </c>
      <c r="M16" s="423">
        <f t="shared" si="2"/>
        <v>46211</v>
      </c>
      <c r="N16" s="424">
        <f t="shared" si="2"/>
        <v>46212</v>
      </c>
      <c r="O16" s="425">
        <f t="shared" si="2"/>
        <v>46213</v>
      </c>
      <c r="P16" s="425">
        <f t="shared" si="2"/>
        <v>46214</v>
      </c>
      <c r="Q16" s="425">
        <f t="shared" si="2"/>
        <v>46215</v>
      </c>
      <c r="R16" s="425">
        <f t="shared" si="2"/>
        <v>46216</v>
      </c>
      <c r="S16" s="425">
        <f t="shared" si="2"/>
        <v>46217</v>
      </c>
      <c r="T16" s="425">
        <f t="shared" si="2"/>
        <v>46218</v>
      </c>
      <c r="U16" s="425">
        <f t="shared" si="2"/>
        <v>46219</v>
      </c>
      <c r="V16" s="425">
        <f t="shared" si="2"/>
        <v>46220</v>
      </c>
      <c r="W16" s="425">
        <f t="shared" si="2"/>
        <v>46221</v>
      </c>
      <c r="X16" s="425">
        <f t="shared" si="2"/>
        <v>46222</v>
      </c>
      <c r="Y16" s="425">
        <f t="shared" si="2"/>
        <v>46223</v>
      </c>
      <c r="Z16" s="425">
        <f t="shared" si="2"/>
        <v>46224</v>
      </c>
      <c r="AA16" s="425">
        <f t="shared" si="2"/>
        <v>46225</v>
      </c>
      <c r="AB16" s="425">
        <f t="shared" si="2"/>
        <v>46226</v>
      </c>
      <c r="AC16" s="425">
        <f t="shared" si="2"/>
        <v>46227</v>
      </c>
      <c r="AD16" s="425">
        <f t="shared" si="2"/>
        <v>46228</v>
      </c>
      <c r="AE16" s="425">
        <f t="shared" si="2"/>
        <v>46229</v>
      </c>
      <c r="AF16" s="426">
        <f t="shared" si="2"/>
        <v>46230</v>
      </c>
      <c r="AG16" s="426">
        <f t="shared" si="2"/>
        <v>46231</v>
      </c>
      <c r="AH16" s="426">
        <f t="shared" si="2"/>
        <v>46232</v>
      </c>
      <c r="AI16" s="426">
        <f t="shared" si="2"/>
        <v>46233</v>
      </c>
      <c r="AJ16" s="427">
        <f t="shared" si="2"/>
        <v>46234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semaine civile</v>
      </c>
      <c r="E17" s="291"/>
      <c r="F17" s="205">
        <f>WEEKNUM(F$16,21)</f>
        <v>27</v>
      </c>
      <c r="G17" s="203">
        <f t="shared" ref="G17:AJ17" si="3">WEEKNUM(G$16,21)</f>
        <v>27</v>
      </c>
      <c r="H17" s="203">
        <f t="shared" si="3"/>
        <v>27</v>
      </c>
      <c r="I17" s="203">
        <f t="shared" si="3"/>
        <v>27</v>
      </c>
      <c r="J17" s="203">
        <f t="shared" si="3"/>
        <v>27</v>
      </c>
      <c r="K17" s="203">
        <f t="shared" si="3"/>
        <v>28</v>
      </c>
      <c r="L17" s="203">
        <f t="shared" si="3"/>
        <v>28</v>
      </c>
      <c r="M17" s="203">
        <f t="shared" si="3"/>
        <v>28</v>
      </c>
      <c r="N17" s="203">
        <f t="shared" si="3"/>
        <v>28</v>
      </c>
      <c r="O17" s="203">
        <f t="shared" si="3"/>
        <v>28</v>
      </c>
      <c r="P17" s="203">
        <f t="shared" si="3"/>
        <v>28</v>
      </c>
      <c r="Q17" s="203">
        <f t="shared" si="3"/>
        <v>28</v>
      </c>
      <c r="R17" s="203">
        <f t="shared" si="3"/>
        <v>29</v>
      </c>
      <c r="S17" s="203">
        <f t="shared" si="3"/>
        <v>29</v>
      </c>
      <c r="T17" s="203">
        <f t="shared" si="3"/>
        <v>29</v>
      </c>
      <c r="U17" s="203">
        <f t="shared" si="3"/>
        <v>29</v>
      </c>
      <c r="V17" s="203">
        <f t="shared" si="3"/>
        <v>29</v>
      </c>
      <c r="W17" s="203">
        <f t="shared" si="3"/>
        <v>29</v>
      </c>
      <c r="X17" s="203">
        <f t="shared" si="3"/>
        <v>29</v>
      </c>
      <c r="Y17" s="203">
        <f t="shared" si="3"/>
        <v>30</v>
      </c>
      <c r="Z17" s="203">
        <f t="shared" si="3"/>
        <v>30</v>
      </c>
      <c r="AA17" s="203">
        <f t="shared" si="3"/>
        <v>30</v>
      </c>
      <c r="AB17" s="203">
        <f t="shared" si="3"/>
        <v>30</v>
      </c>
      <c r="AC17" s="203">
        <f t="shared" si="3"/>
        <v>30</v>
      </c>
      <c r="AD17" s="203">
        <f t="shared" si="3"/>
        <v>30</v>
      </c>
      <c r="AE17" s="203">
        <f t="shared" si="3"/>
        <v>30</v>
      </c>
      <c r="AF17" s="203">
        <f t="shared" si="3"/>
        <v>31</v>
      </c>
      <c r="AG17" s="203">
        <f t="shared" si="3"/>
        <v>31</v>
      </c>
      <c r="AH17" s="203">
        <f t="shared" si="3"/>
        <v>31</v>
      </c>
      <c r="AI17" s="203">
        <f t="shared" si="3"/>
        <v>31</v>
      </c>
      <c r="AJ17" s="204">
        <f t="shared" si="3"/>
        <v>31</v>
      </c>
      <c r="AK17" s="398"/>
      <c r="AL17" s="114" cm="1">
        <f t="array" ref="AL17">SUM(IF(FREQUENCY(F17:AJ17,F17:AJ17)&gt;0,1))</f>
        <v>5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46204</v>
      </c>
      <c r="G18" s="28">
        <f t="shared" ref="G18:AJ18" si="4">IF(G14,G16,0)</f>
        <v>46205</v>
      </c>
      <c r="H18" s="27">
        <f t="shared" si="4"/>
        <v>46206</v>
      </c>
      <c r="I18" s="27">
        <f t="shared" si="4"/>
        <v>46207</v>
      </c>
      <c r="J18" s="27">
        <f t="shared" si="4"/>
        <v>46208</v>
      </c>
      <c r="K18" s="27">
        <f t="shared" si="4"/>
        <v>46209</v>
      </c>
      <c r="L18" s="27">
        <f t="shared" si="4"/>
        <v>46210</v>
      </c>
      <c r="M18" s="27">
        <f t="shared" si="4"/>
        <v>46211</v>
      </c>
      <c r="N18" s="27">
        <f t="shared" si="4"/>
        <v>46212</v>
      </c>
      <c r="O18" s="27">
        <f t="shared" si="4"/>
        <v>46213</v>
      </c>
      <c r="P18" s="27">
        <f t="shared" si="4"/>
        <v>46214</v>
      </c>
      <c r="Q18" s="27">
        <f t="shared" si="4"/>
        <v>46215</v>
      </c>
      <c r="R18" s="27">
        <f t="shared" si="4"/>
        <v>46216</v>
      </c>
      <c r="S18" s="27">
        <f t="shared" si="4"/>
        <v>46217</v>
      </c>
      <c r="T18" s="27">
        <f t="shared" si="4"/>
        <v>46218</v>
      </c>
      <c r="U18" s="27">
        <f t="shared" si="4"/>
        <v>46219</v>
      </c>
      <c r="V18" s="27">
        <f t="shared" si="4"/>
        <v>46220</v>
      </c>
      <c r="W18" s="27">
        <f t="shared" si="4"/>
        <v>46221</v>
      </c>
      <c r="X18" s="27">
        <f t="shared" si="4"/>
        <v>46222</v>
      </c>
      <c r="Y18" s="27">
        <f t="shared" si="4"/>
        <v>46223</v>
      </c>
      <c r="Z18" s="27">
        <f t="shared" si="4"/>
        <v>46224</v>
      </c>
      <c r="AA18" s="27">
        <f t="shared" si="4"/>
        <v>46225</v>
      </c>
      <c r="AB18" s="27">
        <f t="shared" si="4"/>
        <v>46226</v>
      </c>
      <c r="AC18" s="27">
        <f t="shared" si="4"/>
        <v>46227</v>
      </c>
      <c r="AD18" s="27">
        <f t="shared" si="4"/>
        <v>46228</v>
      </c>
      <c r="AE18" s="27">
        <f t="shared" si="4"/>
        <v>46229</v>
      </c>
      <c r="AF18" s="27">
        <f t="shared" si="4"/>
        <v>46230</v>
      </c>
      <c r="AG18" s="27">
        <f t="shared" si="4"/>
        <v>46231</v>
      </c>
      <c r="AH18" s="27">
        <f t="shared" si="4"/>
        <v>46232</v>
      </c>
      <c r="AI18" s="198">
        <f t="shared" si="4"/>
        <v>46233</v>
      </c>
      <c r="AJ18" s="198">
        <f t="shared" si="4"/>
        <v>46234</v>
      </c>
      <c r="AK18" s="399"/>
      <c r="AL18" s="115">
        <f>_xlfn.DAYS(EOMONTH($F$18,0),$F$18)+1</f>
        <v>31</v>
      </c>
      <c r="AM18" s="287">
        <f>AL19*A_fldSollTagStd</f>
        <v>184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mer.</v>
      </c>
      <c r="G19" s="92" t="str">
        <f>IF(G14=1,TEXT(G$18,H_Label!$B$24&amp;"TTT"),0)</f>
        <v>jeu.</v>
      </c>
      <c r="H19" s="92" t="str">
        <f>IF(H14=1,TEXT(H$18,H_Label!$B$24&amp;"TTT"),0)</f>
        <v>ven.</v>
      </c>
      <c r="I19" s="92" t="str">
        <f>IF(I14=1,TEXT(I$18,H_Label!$B$24&amp;"TTT"),0)</f>
        <v>sam.</v>
      </c>
      <c r="J19" s="92" t="str">
        <f>IF(J14=1,TEXT(J$18,H_Label!$B$24&amp;"TTT"),0)</f>
        <v>dim.</v>
      </c>
      <c r="K19" s="92" t="str">
        <f>IF(K14=1,TEXT(K$18,H_Label!$B$24&amp;"TTT"),0)</f>
        <v>lun.</v>
      </c>
      <c r="L19" s="92" t="str">
        <f>IF(L14=1,TEXT(L$18,H_Label!$B$24&amp;"TTT"),0)</f>
        <v>mar.</v>
      </c>
      <c r="M19" s="92" t="str">
        <f>IF(M14=1,TEXT(M$18,H_Label!$B$24&amp;"TTT"),0)</f>
        <v>mer.</v>
      </c>
      <c r="N19" s="92" t="str">
        <f>IF(N14=1,TEXT(N$18,H_Label!$B$24&amp;"TTT"),0)</f>
        <v>jeu.</v>
      </c>
      <c r="O19" s="92" t="str">
        <f>IF(O14=1,TEXT(O$18,H_Label!$B$24&amp;"TTT"),0)</f>
        <v>ven.</v>
      </c>
      <c r="P19" s="92" t="str">
        <f>IF(P14=1,TEXT(P$18,H_Label!$B$24&amp;"TTT"),0)</f>
        <v>sam.</v>
      </c>
      <c r="Q19" s="92" t="str">
        <f>IF(Q14=1,TEXT(Q$18,H_Label!$B$24&amp;"TTT"),0)</f>
        <v>dim.</v>
      </c>
      <c r="R19" s="92" t="str">
        <f>IF(R14=1,TEXT(R$18,H_Label!$B$24&amp;"TTT"),0)</f>
        <v>lun.</v>
      </c>
      <c r="S19" s="92" t="str">
        <f>IF(S14=1,TEXT(S$18,H_Label!$B$24&amp;"TTT"),0)</f>
        <v>mar.</v>
      </c>
      <c r="T19" s="92" t="str">
        <f>IF(T14=1,TEXT(T$18,H_Label!$B$24&amp;"TTT"),0)</f>
        <v>mer.</v>
      </c>
      <c r="U19" s="92" t="str">
        <f>IF(U14=1,TEXT(U$18,H_Label!$B$24&amp;"TTT"),0)</f>
        <v>jeu.</v>
      </c>
      <c r="V19" s="92" t="str">
        <f>IF(V14=1,TEXT(V$18,H_Label!$B$24&amp;"TTT"),0)</f>
        <v>ven.</v>
      </c>
      <c r="W19" s="92" t="str">
        <f>IF(W14=1,TEXT(W$18,H_Label!$B$24&amp;"TTT"),0)</f>
        <v>sam.</v>
      </c>
      <c r="X19" s="92" t="str">
        <f>IF(X14=1,TEXT(X$18,H_Label!$B$24&amp;"TTT"),0)</f>
        <v>dim.</v>
      </c>
      <c r="Y19" s="92" t="str">
        <f>IF(Y14=1,TEXT(Y$18,H_Label!$B$24&amp;"TTT"),0)</f>
        <v>lun.</v>
      </c>
      <c r="Z19" s="92" t="str">
        <f>IF(Z14=1,TEXT(Z$18,H_Label!$B$24&amp;"TTT"),0)</f>
        <v>mar.</v>
      </c>
      <c r="AA19" s="92" t="str">
        <f>IF(AA14=1,TEXT(AA$18,H_Label!$B$24&amp;"TTT"),0)</f>
        <v>mer.</v>
      </c>
      <c r="AB19" s="92" t="str">
        <f>IF(AB14=1,TEXT(AB$18,H_Label!$B$24&amp;"TTT"),0)</f>
        <v>jeu.</v>
      </c>
      <c r="AC19" s="92" t="str">
        <f>IF(AC14=1,TEXT(AC$18,H_Label!$B$24&amp;"TTT"),0)</f>
        <v>ven.</v>
      </c>
      <c r="AD19" s="92" t="str">
        <f>IF(AD14=1,TEXT(AD$18,H_Label!$B$24&amp;"TTT"),0)</f>
        <v>sam.</v>
      </c>
      <c r="AE19" s="92" t="str">
        <f>IF(AE14=1,TEXT(AE$18,H_Label!$B$24&amp;"TTT"),0)</f>
        <v>dim.</v>
      </c>
      <c r="AF19" s="92" t="str">
        <f>IF(AF14=1,TEXT(AF$18,H_Label!$B$24&amp;"TTT"),0)</f>
        <v>lun.</v>
      </c>
      <c r="AG19" s="92" t="str">
        <f>IF(AG14=1,TEXT(AG$18,H_Label!$B$24&amp;"TTT"),0)</f>
        <v>mar.</v>
      </c>
      <c r="AH19" s="92" t="str">
        <f>IF(AH14=1,TEXT(AH$18,H_Label!$B$24&amp;"TTT"),0)</f>
        <v>mer.</v>
      </c>
      <c r="AI19" s="92" t="str">
        <f>IF(AI14=1,TEXT(AI$18,H_Label!$B$24&amp;"TTT"),0)</f>
        <v>jeu.</v>
      </c>
      <c r="AJ19" s="92" t="str">
        <f>IF(AJ14=1,TEXT(AJ$18,H_Label!$B$24&amp;"TTT"),0)</f>
        <v>ven.</v>
      </c>
      <c r="AK19" s="400"/>
      <c r="AL19" s="117">
        <f>NETWORKDAYS($F$18,EOMONTH($F$18,0))</f>
        <v>23</v>
      </c>
      <c r="AM19" s="288">
        <f>SUM(F20:AJ20)</f>
        <v>184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heures théorique</v>
      </c>
      <c r="E20" s="19"/>
      <c r="F20" s="26" cm="1">
        <f t="array" ref="F20">IF(OR(F14=0,F54="x"),0,A_fldSollTagStd*SUMPRODUCT((H_tblBGTage=WEEKDAY(F16,2))*(H_tblBGMnt=M_Monat)*H_tblBG%))</f>
        <v>8</v>
      </c>
      <c r="G20" s="26" cm="1">
        <f t="array" ref="G20">IF(OR(G14=0,G54="x"),0,A_fldSollTagStd*SUMPRODUCT((H_tblBGTage=WEEKDAY(G16,2))*(H_tblBGMnt=M_Monat)*H_tblBG%))</f>
        <v>8</v>
      </c>
      <c r="H20" s="26" cm="1">
        <f t="array" ref="H20">IF(OR(H14=0,H54="x"),0,A_fldSollTagStd*SUMPRODUCT((H_tblBGTage=WEEKDAY(H16,2))*(H_tblBGMnt=M_Monat)*H_tblBG%))</f>
        <v>8</v>
      </c>
      <c r="I20" s="26" cm="1">
        <f t="array" ref="I20">IF(OR(I14=0,I54="x"),0,A_fldSollTagStd*SUMPRODUCT((H_tblBGTage=WEEKDAY(I16,2))*(H_tblBGMnt=M_Monat)*H_tblBG%))</f>
        <v>0</v>
      </c>
      <c r="J20" s="26" cm="1">
        <f t="array" ref="J20">IF(OR(J14=0,J54="x"),0,A_fldSollTagStd*SUMPRODUCT((H_tblBGTage=WEEKDAY(J16,2))*(H_tblBGMnt=M_Monat)*H_tblBG%))</f>
        <v>0</v>
      </c>
      <c r="K20" s="26" cm="1">
        <f t="array" ref="K20">IF(OR(K14=0,K54="x"),0,A_fldSollTagStd*SUMPRODUCT((H_tblBGTage=WEEKDAY(K16,2))*(H_tblBGMnt=M_Monat)*H_tblBG%))</f>
        <v>8</v>
      </c>
      <c r="L20" s="26" cm="1">
        <f t="array" ref="L20">IF(OR(L14=0,L54="x"),0,A_fldSollTagStd*SUMPRODUCT((H_tblBGTage=WEEKDAY(L16,2))*(H_tblBGMnt=M_Monat)*H_tblBG%))</f>
        <v>8</v>
      </c>
      <c r="M20" s="26" cm="1">
        <f t="array" ref="M20">IF(OR(M14=0,M54="x"),0,A_fldSollTagStd*SUMPRODUCT((H_tblBGTage=WEEKDAY(M16,2))*(H_tblBGMnt=M_Monat)*H_tblBG%))</f>
        <v>8</v>
      </c>
      <c r="N20" s="26" cm="1">
        <f t="array" ref="N20">IF(OR(N14=0,N54="x"),0,A_fldSollTagStd*SUMPRODUCT((H_tblBGTage=WEEKDAY(N16,2))*(H_tblBGMnt=M_Monat)*H_tblBG%))</f>
        <v>8</v>
      </c>
      <c r="O20" s="26" cm="1">
        <f t="array" ref="O20">IF(OR(O14=0,O54="x"),0,A_fldSollTagStd*SUMPRODUCT((H_tblBGTage=WEEKDAY(O16,2))*(H_tblBGMnt=M_Monat)*H_tblBG%))</f>
        <v>8</v>
      </c>
      <c r="P20" s="26" cm="1">
        <f t="array" ref="P20">IF(OR(P14=0,P54="x"),0,A_fldSollTagStd*SUMPRODUCT((H_tblBGTage=WEEKDAY(P16,2))*(H_tblBGMnt=M_Monat)*H_tblBG%))</f>
        <v>0</v>
      </c>
      <c r="Q20" s="26" cm="1">
        <f t="array" ref="Q20">IF(OR(Q14=0,Q54="x"),0,A_fldSollTagStd*SUMPRODUCT((H_tblBGTage=WEEKDAY(Q16,2))*(H_tblBGMnt=M_Monat)*H_tblBG%))</f>
        <v>0</v>
      </c>
      <c r="R20" s="26" cm="1">
        <f t="array" ref="R20">IF(OR(R14=0,R54="x"),0,A_fldSollTagStd*SUMPRODUCT((H_tblBGTage=WEEKDAY(R16,2))*(H_tblBGMnt=M_Monat)*H_tblBG%))</f>
        <v>8</v>
      </c>
      <c r="S20" s="26" cm="1">
        <f t="array" ref="S20">IF(OR(S14=0,S54="x"),0,A_fldSollTagStd*SUMPRODUCT((H_tblBGTage=WEEKDAY(S16,2))*(H_tblBGMnt=M_Monat)*H_tblBG%))</f>
        <v>8</v>
      </c>
      <c r="T20" s="26" cm="1">
        <f t="array" ref="T20">IF(OR(T14=0,T54="x"),0,A_fldSollTagStd*SUMPRODUCT((H_tblBGTage=WEEKDAY(T16,2))*(H_tblBGMnt=M_Monat)*H_tblBG%))</f>
        <v>8</v>
      </c>
      <c r="U20" s="26" cm="1">
        <f t="array" ref="U20">IF(OR(U14=0,U54="x"),0,A_fldSollTagStd*SUMPRODUCT((H_tblBGTage=WEEKDAY(U16,2))*(H_tblBGMnt=M_Monat)*H_tblBG%))</f>
        <v>8</v>
      </c>
      <c r="V20" s="26" cm="1">
        <f t="array" ref="V20">IF(OR(V14=0,V54="x"),0,A_fldSollTagStd*SUMPRODUCT((H_tblBGTage=WEEKDAY(V16,2))*(H_tblBGMnt=M_Monat)*H_tblBG%))</f>
        <v>8</v>
      </c>
      <c r="W20" s="26" cm="1">
        <f t="array" ref="W20">IF(OR(W14=0,W54="x"),0,A_fldSollTagStd*SUMPRODUCT((H_tblBGTage=WEEKDAY(W16,2))*(H_tblBGMnt=M_Monat)*H_tblBG%))</f>
        <v>0</v>
      </c>
      <c r="X20" s="26" cm="1">
        <f t="array" ref="X20">IF(OR(X14=0,X54="x"),0,A_fldSollTagStd*SUMPRODUCT((H_tblBGTage=WEEKDAY(X16,2))*(H_tblBGMnt=M_Monat)*H_tblBG%))</f>
        <v>0</v>
      </c>
      <c r="Y20" s="26" cm="1">
        <f t="array" ref="Y20">IF(OR(Y14=0,Y54="x"),0,A_fldSollTagStd*SUMPRODUCT((H_tblBGTage=WEEKDAY(Y16,2))*(H_tblBGMnt=M_Monat)*H_tblBG%))</f>
        <v>8</v>
      </c>
      <c r="Z20" s="26" cm="1">
        <f t="array" ref="Z20">IF(OR(Z14=0,Z54="x"),0,A_fldSollTagStd*SUMPRODUCT((H_tblBGTage=WEEKDAY(Z16,2))*(H_tblBGMnt=M_Monat)*H_tblBG%))</f>
        <v>8</v>
      </c>
      <c r="AA20" s="26" cm="1">
        <f t="array" ref="AA20">IF(OR(AA14=0,AA54="x"),0,A_fldSollTagStd*SUMPRODUCT((H_tblBGTage=WEEKDAY(AA16,2))*(H_tblBGMnt=M_Monat)*H_tblBG%))</f>
        <v>8</v>
      </c>
      <c r="AB20" s="26" cm="1">
        <f t="array" ref="AB20">IF(OR(AB14=0,AB54="x"),0,A_fldSollTagStd*SUMPRODUCT((H_tblBGTage=WEEKDAY(AB16,2))*(H_tblBGMnt=M_Monat)*H_tblBG%))</f>
        <v>8</v>
      </c>
      <c r="AC20" s="26" cm="1">
        <f t="array" ref="AC20">IF(OR(AC14=0,AC54="x"),0,A_fldSollTagStd*SUMPRODUCT((H_tblBGTage=WEEKDAY(AC16,2))*(H_tblBGMnt=M_Monat)*H_tblBG%))</f>
        <v>8</v>
      </c>
      <c r="AD20" s="26" cm="1">
        <f t="array" ref="AD20">IF(OR(AD14=0,AD54="x"),0,A_fldSollTagStd*SUMPRODUCT((H_tblBGTage=WEEKDAY(AD16,2))*(H_tblBGMnt=M_Monat)*H_tblBG%))</f>
        <v>0</v>
      </c>
      <c r="AE20" s="26" cm="1">
        <f t="array" ref="AE20">IF(OR(AE14=0,AE54="x"),0,A_fldSollTagStd*SUMPRODUCT((H_tblBGTage=WEEKDAY(AE16,2))*(H_tblBGMnt=M_Monat)*H_tblBG%))</f>
        <v>0</v>
      </c>
      <c r="AF20" s="26" cm="1">
        <f t="array" ref="AF20">IF(OR(AF14=0,AF54="x"),0,A_fldSollTagStd*SUMPRODUCT((H_tblBGTage=WEEKDAY(AF16,2))*(H_tblBGMnt=M_Monat)*H_tblBG%))</f>
        <v>8</v>
      </c>
      <c r="AG20" s="26" cm="1">
        <f t="array" ref="AG20">IF(OR(AG14=0,AG54="x"),0,A_fldSollTagStd*SUMPRODUCT((H_tblBGTage=WEEKDAY(AG16,2))*(H_tblBGMnt=M_Monat)*H_tblBG%))</f>
        <v>8</v>
      </c>
      <c r="AH20" s="26" cm="1">
        <f t="array" ref="AH20">IF(OR(AH14=0,AH54="x"),0,A_fldSollTagStd*SUMPRODUCT((H_tblBGTage=WEEKDAY(AH16,2))*(H_tblBGMnt=M_Monat)*H_tblBG%))</f>
        <v>8</v>
      </c>
      <c r="AI20" s="199" cm="1">
        <f t="array" ref="AI20">IF(OR(AI14=0,AI54="x"),0,A_fldSollTagStd*SUMPRODUCT((H_tblBGTage=WEEKDAY(AI16,2))*(H_tblBGMnt=M_Monat)*H_tblBG%))</f>
        <v>8</v>
      </c>
      <c r="AJ20" s="199" cm="1">
        <f t="array" ref="AJ20">IF(OR(AJ14=0,AJ54="x"),0,A_fldSollTagStd*SUMPRODUCT((H_tblBGTage=WEEKDAY(AJ16,2))*(H_tblBGMnt=M_Monat)*H_tblBG%))</f>
        <v>8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jours fériés</v>
      </c>
      <c r="E21" s="20"/>
      <c r="F21" s="195" t="str" cm="1">
        <f t="array" ref="F21">INDEX(H_Calendar!$K$10:$K$375,MATCH(1,INDEX((H_Calendar!$E$10:$E$375=M_Monat)*(H_Calendar!$H$10:$H$375=DAY(F$18)),0,1),0))</f>
        <v/>
      </c>
      <c r="G21" s="195" t="str" cm="1">
        <f t="array" ref="G21">INDEX(H_Calendar!$K$10:$K$375,MATCH(1,INDEX((H_Calendar!$E$10:$E$375=M_Monat)*(H_Calendar!$H$10:$H$375=DAY(G$18)),0,1),0))</f>
        <v/>
      </c>
      <c r="H21" s="195" t="str" cm="1">
        <f t="array" ref="H21">INDEX(H_Calendar!$K$10:$K$375,MATCH(1,INDEX((H_Calendar!$E$10:$E$375=M_Monat)*(H_Calendar!$H$10:$H$375=DAY(H$18)),0,1),0))</f>
        <v/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/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/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/>
      </c>
      <c r="AD21" s="195" t="str" cm="1">
        <f t="array" ref="AD21">INDEX(H_Calendar!$K$10:$K$375,MATCH(1,INDEX((H_Calendar!$E$10:$E$375=M_Monat)*(H_Calendar!$H$10:$H$375=DAY(AD$18)),0,1),0))</f>
        <v/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0</v>
      </c>
      <c r="AM21" s="320">
        <f>COUNTIF(F21:AJ21,"ft")</f>
        <v>0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heures productives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x14ac:dyDescent="0.2">
      <c r="A25" s="252"/>
      <c r="B25" s="438"/>
      <c r="C25" s="252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customHeight="1" x14ac:dyDescent="0.2">
      <c r="A26" s="252"/>
      <c r="B26" s="438"/>
      <c r="C26" s="252">
        <v>4</v>
      </c>
      <c r="D26" s="606" t="str">
        <f>H_Label!B313</f>
        <v>temps de trajet (total)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déduction de temps de trajet = 0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total journalier y c. temp de trajet payé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total hebdomadaire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9" s="143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9" s="144" t="str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août</v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crédits et majorations</v>
      </c>
      <c r="E30" s="87"/>
      <c r="F30" s="145" t="str">
        <f>H_Label!B264</f>
        <v>1)  25% majoration temporelle pour depassement les heures maximales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majoration temporelle pour travail de nuit</v>
      </c>
      <c r="Q30" s="145"/>
      <c r="R30" s="145"/>
      <c r="S30" s="145"/>
      <c r="T30" s="145"/>
      <c r="U30" s="145"/>
      <c r="V30" s="145"/>
      <c r="W30" s="145" t="str">
        <f>H_Label!B266</f>
        <v>3) 100% majoration temporelle pour travail du dimanche et jour férié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Majoration  "jf"</v>
      </c>
      <c r="E31" s="23"/>
      <c r="F31" s="24">
        <f t="shared" ref="F31:AG31" si="8">IF(F21="ft",F20,0)</f>
        <v>0</v>
      </c>
      <c r="G31" s="24">
        <f t="shared" si="8"/>
        <v>0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0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0</v>
      </c>
      <c r="AD31" s="24">
        <f t="shared" si="8"/>
        <v>0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0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Majorations temp.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/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>août</v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Majorations temp.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Majorations temp.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>
        <f>H_Label!B273</f>
        <v>0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vacances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compensation année passée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42" si="11">SUM(F37:AJ37)</f>
        <v>0</v>
      </c>
      <c r="AM37" s="292">
        <f t="shared" ref="AM37:AM42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compensation année en cours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absences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maladie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accident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absences de grossesse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Congé de maternité/paternité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militaire/promotion/protection civile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ref="AL44:AL50" si="13">SUM(F44:AJ44)</f>
        <v>0</v>
      </c>
      <c r="AM44" s="292">
        <f t="shared" ref="AM44:AM50" si="14">COUNT(F44:AJ44)</f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école professionelle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3"/>
        <v>0</v>
      </c>
      <c r="AM45" s="292">
        <f t="shared" si="14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cours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3"/>
        <v>0</v>
      </c>
      <c r="AM46" s="292">
        <f t="shared" si="14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chômage partiel et intempéries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3"/>
        <v>0</v>
      </c>
      <c r="AM47" s="292">
        <f t="shared" si="14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arrêts définis par l'entreprise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3"/>
        <v>0</v>
      </c>
      <c r="AM48" s="292">
        <f t="shared" si="14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vacances non payées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3"/>
        <v>0</v>
      </c>
      <c r="AM49" s="292">
        <f t="shared" si="14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heures manquantes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3"/>
        <v>0</v>
      </c>
      <c r="AM50" s="292">
        <f t="shared" si="14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heures inproductives totales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5">ROUND(SUM(H39:H48),4)</f>
        <v>0</v>
      </c>
      <c r="I51" s="433">
        <f t="shared" si="15"/>
        <v>0</v>
      </c>
      <c r="J51" s="433">
        <f t="shared" si="15"/>
        <v>0</v>
      </c>
      <c r="K51" s="433">
        <f t="shared" si="15"/>
        <v>0</v>
      </c>
      <c r="L51" s="433">
        <f t="shared" si="15"/>
        <v>0</v>
      </c>
      <c r="M51" s="433">
        <f t="shared" si="15"/>
        <v>0</v>
      </c>
      <c r="N51" s="433">
        <f t="shared" si="15"/>
        <v>0</v>
      </c>
      <c r="O51" s="433">
        <f t="shared" si="15"/>
        <v>0</v>
      </c>
      <c r="P51" s="433">
        <f t="shared" si="15"/>
        <v>0</v>
      </c>
      <c r="Q51" s="433">
        <f t="shared" si="15"/>
        <v>0</v>
      </c>
      <c r="R51" s="433">
        <f t="shared" si="15"/>
        <v>0</v>
      </c>
      <c r="S51" s="433">
        <f t="shared" si="15"/>
        <v>0</v>
      </c>
      <c r="T51" s="433">
        <f t="shared" si="15"/>
        <v>0</v>
      </c>
      <c r="U51" s="433">
        <f t="shared" si="15"/>
        <v>0</v>
      </c>
      <c r="V51" s="433">
        <f t="shared" si="15"/>
        <v>0</v>
      </c>
      <c r="W51" s="433">
        <f t="shared" si="15"/>
        <v>0</v>
      </c>
      <c r="X51" s="433">
        <f t="shared" si="15"/>
        <v>0</v>
      </c>
      <c r="Y51" s="433">
        <f t="shared" si="15"/>
        <v>0</v>
      </c>
      <c r="Z51" s="433">
        <f t="shared" si="15"/>
        <v>0</v>
      </c>
      <c r="AA51" s="433">
        <f t="shared" si="15"/>
        <v>0</v>
      </c>
      <c r="AB51" s="433">
        <f t="shared" si="15"/>
        <v>0</v>
      </c>
      <c r="AC51" s="433">
        <f t="shared" si="15"/>
        <v>0</v>
      </c>
      <c r="AD51" s="433">
        <f t="shared" si="15"/>
        <v>0</v>
      </c>
      <c r="AE51" s="433">
        <f t="shared" si="15"/>
        <v>0</v>
      </c>
      <c r="AF51" s="433">
        <f t="shared" si="15"/>
        <v>0</v>
      </c>
      <c r="AG51" s="433">
        <f t="shared" si="15"/>
        <v>0</v>
      </c>
      <c r="AH51" s="433">
        <f t="shared" si="15"/>
        <v>0</v>
      </c>
      <c r="AI51" s="433">
        <f t="shared" si="15"/>
        <v>0</v>
      </c>
      <c r="AJ51" s="434">
        <f t="shared" si="15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contrôle et corrections</v>
      </c>
      <c r="E52" s="87"/>
      <c r="F52" s="146"/>
      <c r="G52" s="147" t="str">
        <f>H_Label!B292</f>
        <v>veuillez cocher les jours de correction avec "x"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jour de carence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exclure jour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23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corrections manuelles</v>
      </c>
      <c r="E56" s="149"/>
      <c r="F56" s="150" t="str">
        <f>H_Label!B298</f>
        <v>heures payées se année passée</v>
      </c>
      <c r="G56" s="150"/>
      <c r="H56" s="150"/>
      <c r="I56" s="150"/>
      <c r="J56" s="150"/>
      <c r="K56" s="835"/>
      <c r="L56" s="836"/>
      <c r="M56" s="837"/>
      <c r="N56" s="148"/>
      <c r="O56" s="148"/>
      <c r="P56" s="150" t="str">
        <f>H_Label!B299</f>
        <v>heures payées année en cours (heures supplémentaires)</v>
      </c>
      <c r="Q56" s="148"/>
      <c r="R56" s="148"/>
      <c r="S56" s="148"/>
      <c r="T56" s="148"/>
      <c r="U56" s="148"/>
      <c r="V56" s="148"/>
      <c r="W56" s="835"/>
      <c r="X56" s="836"/>
      <c r="Y56" s="837"/>
      <c r="Z56" s="148"/>
      <c r="AA56" s="150"/>
      <c r="AB56" s="148"/>
      <c r="AC56" s="148"/>
      <c r="AD56" s="150" t="str">
        <f>H_Label!B300</f>
        <v>vacances avoir / déduction</v>
      </c>
      <c r="AE56" s="150"/>
      <c r="AF56" s="150"/>
      <c r="AG56" s="150"/>
      <c r="AH56" s="835"/>
      <c r="AI56" s="836"/>
      <c r="AJ56" s="837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remarques</v>
      </c>
      <c r="E58" s="152"/>
      <c r="F58" s="814"/>
      <c r="G58" s="815"/>
      <c r="H58" s="815"/>
      <c r="I58" s="815"/>
      <c r="J58" s="815"/>
      <c r="K58" s="815"/>
      <c r="L58" s="815"/>
      <c r="M58" s="815"/>
      <c r="N58" s="815"/>
      <c r="O58" s="815"/>
      <c r="P58" s="815"/>
      <c r="Q58" s="815"/>
      <c r="R58" s="815"/>
      <c r="S58" s="815"/>
      <c r="T58" s="815"/>
      <c r="U58" s="815"/>
      <c r="V58" s="815"/>
      <c r="W58" s="815"/>
      <c r="X58" s="815"/>
      <c r="Y58" s="815"/>
      <c r="Z58" s="815"/>
      <c r="AA58" s="815"/>
      <c r="AB58" s="815"/>
      <c r="AC58" s="815"/>
      <c r="AD58" s="815"/>
      <c r="AE58" s="815"/>
      <c r="AF58" s="815"/>
      <c r="AG58" s="815"/>
      <c r="AH58" s="815"/>
      <c r="AI58" s="815"/>
      <c r="AJ58" s="816"/>
      <c r="AK58" s="396"/>
    </row>
    <row r="59" spans="1:46" ht="12" customHeight="1" x14ac:dyDescent="0.25">
      <c r="D59" s="153"/>
      <c r="E59" s="153"/>
      <c r="F59" s="817"/>
      <c r="G59" s="818"/>
      <c r="H59" s="818"/>
      <c r="I59" s="818"/>
      <c r="J59" s="818"/>
      <c r="K59" s="818"/>
      <c r="L59" s="818"/>
      <c r="M59" s="818"/>
      <c r="N59" s="818"/>
      <c r="O59" s="818"/>
      <c r="P59" s="818"/>
      <c r="Q59" s="818"/>
      <c r="R59" s="818"/>
      <c r="S59" s="818"/>
      <c r="T59" s="818"/>
      <c r="U59" s="818"/>
      <c r="V59" s="818"/>
      <c r="W59" s="818"/>
      <c r="X59" s="818"/>
      <c r="Y59" s="818"/>
      <c r="Z59" s="818"/>
      <c r="AA59" s="818"/>
      <c r="AB59" s="818"/>
      <c r="AC59" s="818"/>
      <c r="AD59" s="818"/>
      <c r="AE59" s="818"/>
      <c r="AF59" s="818"/>
      <c r="AG59" s="818"/>
      <c r="AH59" s="818"/>
      <c r="AI59" s="818"/>
      <c r="AJ59" s="819"/>
      <c r="AK59" s="396"/>
    </row>
    <row r="60" spans="1:46" ht="12" customHeight="1" x14ac:dyDescent="0.25">
      <c r="D60" s="154"/>
      <c r="E60" s="154"/>
      <c r="F60" s="832"/>
      <c r="G60" s="833"/>
      <c r="H60" s="833"/>
      <c r="I60" s="833"/>
      <c r="J60" s="833"/>
      <c r="K60" s="833"/>
      <c r="L60" s="833"/>
      <c r="M60" s="833"/>
      <c r="N60" s="833"/>
      <c r="O60" s="833"/>
      <c r="P60" s="833"/>
      <c r="Q60" s="833"/>
      <c r="R60" s="833"/>
      <c r="S60" s="833"/>
      <c r="T60" s="833"/>
      <c r="U60" s="833"/>
      <c r="V60" s="833"/>
      <c r="W60" s="833"/>
      <c r="X60" s="833"/>
      <c r="Y60" s="833"/>
      <c r="Z60" s="833"/>
      <c r="AA60" s="833"/>
      <c r="AB60" s="833"/>
      <c r="AC60" s="833"/>
      <c r="AD60" s="833"/>
      <c r="AE60" s="833"/>
      <c r="AF60" s="833"/>
      <c r="AG60" s="833"/>
      <c r="AH60" s="833"/>
      <c r="AI60" s="833"/>
      <c r="AJ60" s="834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J'ai contrôlé les comptes mensuels et vérifié leur exactitude.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09"/>
      <c r="G63" s="809"/>
      <c r="H63" s="809"/>
      <c r="I63" s="809"/>
      <c r="J63" s="809"/>
      <c r="K63" s="809"/>
      <c r="L63" s="809"/>
      <c r="M63" s="809"/>
      <c r="V63" s="809"/>
      <c r="W63" s="809"/>
      <c r="X63" s="809"/>
      <c r="Y63" s="809"/>
      <c r="Z63" s="809"/>
      <c r="AA63" s="809"/>
      <c r="AB63" s="809"/>
      <c r="AC63" s="809"/>
      <c r="AH63" s="809"/>
      <c r="AI63" s="809"/>
      <c r="AJ63" s="809"/>
    </row>
    <row r="64" spans="1:46" ht="15.75" x14ac:dyDescent="0.25">
      <c r="D64" s="156" t="str">
        <f>H_Label!B306</f>
        <v>visa employé</v>
      </c>
      <c r="E64" s="156"/>
      <c r="F64" s="810"/>
      <c r="G64" s="810"/>
      <c r="H64" s="810"/>
      <c r="I64" s="810"/>
      <c r="J64" s="810"/>
      <c r="K64" s="810"/>
      <c r="L64" s="810"/>
      <c r="M64" s="810"/>
      <c r="N64" s="156"/>
      <c r="O64" s="148"/>
      <c r="P64" s="156" t="str">
        <f>H_Label!B307</f>
        <v>visa supérieur hiérarchique</v>
      </c>
      <c r="Q64" s="148"/>
      <c r="R64" s="15"/>
      <c r="S64" s="156"/>
      <c r="T64" s="156"/>
      <c r="U64" s="156"/>
      <c r="V64" s="810"/>
      <c r="W64" s="810"/>
      <c r="X64" s="810"/>
      <c r="Y64" s="810"/>
      <c r="Z64" s="810"/>
      <c r="AA64" s="810"/>
      <c r="AB64" s="810"/>
      <c r="AC64" s="810"/>
      <c r="AD64" s="148"/>
      <c r="AE64" s="15"/>
      <c r="AF64" s="156" t="str">
        <f>H_Label!B308</f>
        <v>date</v>
      </c>
      <c r="AG64" s="15"/>
      <c r="AH64" s="810"/>
      <c r="AI64" s="810"/>
      <c r="AJ64" s="810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OSC19bnyci8PSF3I4RhVP9o0K18/xULr0u9S6+Ymbu6RlTad5N5IWTqu6PpK0rPDfewnHXWgwyhBxFYp2MynsA==" saltValue="bIBGTcF+rV355RRYXoq7gw==" spinCount="100000" sheet="1" objects="1" scenarios="1"/>
  <mergeCells count="23">
    <mergeCell ref="F63:M64"/>
    <mergeCell ref="V63:AC64"/>
    <mergeCell ref="AH63:AJ64"/>
    <mergeCell ref="K56:M56"/>
    <mergeCell ref="W56:Y56"/>
    <mergeCell ref="AH56:AJ56"/>
    <mergeCell ref="F58:AJ58"/>
    <mergeCell ref="F59:AJ59"/>
    <mergeCell ref="F60:AJ60"/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</mergeCells>
  <conditionalFormatting sqref="D37:AJ37">
    <cfRule type="expression" dxfId="116" priority="14">
      <formula>AND(M_Monat&gt;4,M_Monat&lt;10)</formula>
    </cfRule>
    <cfRule type="expression" dxfId="115" priority="15">
      <formula>M_Monat&gt;=10</formula>
    </cfRule>
  </conditionalFormatting>
  <conditionalFormatting sqref="E15:AK15">
    <cfRule type="expression" dxfId="114" priority="9">
      <formula>E$15=2</formula>
    </cfRule>
  </conditionalFormatting>
  <conditionalFormatting sqref="F17:AJ17">
    <cfRule type="expression" dxfId="113" priority="12">
      <formula>OR(AND(DAY(F$16)&lt;&gt;1,WEEKDAY(F$16,2)&lt;&gt;1),F$14=0)</formula>
    </cfRule>
    <cfRule type="expression" dxfId="112" priority="13">
      <formula>OR(F$15=2,AND(F$14=1,WEEKDAY(F$16,2)=7))</formula>
    </cfRule>
  </conditionalFormatting>
  <conditionalFormatting sqref="F18:AJ21 F23:AJ28 F31:AJ31 F33:AJ34 F36:AJ51 F53:AJ54">
    <cfRule type="expression" dxfId="111" priority="17">
      <formula>F$21="ft"</formula>
    </cfRule>
  </conditionalFormatting>
  <conditionalFormatting sqref="F18:AJ21 F23:AJ29 F31:AJ34 F36:AJ51 F53:AJ54">
    <cfRule type="expression" dxfId="110" priority="8">
      <formula>AND(F$14=0,$B18=0)</formula>
    </cfRule>
  </conditionalFormatting>
  <conditionalFormatting sqref="F28:AJ29 F32:AJ32">
    <cfRule type="expression" dxfId="109" priority="10">
      <formula>OR(WEEKDAY(F$16,2)=7,F$15=2)</formula>
    </cfRule>
  </conditionalFormatting>
  <conditionalFormatting sqref="F36:AJ51 F53:AJ54 F18:AJ21 F23:AJ28 F31:AJ31 F33:AJ34">
    <cfRule type="expression" dxfId="108" priority="16">
      <formula>WEEKDAY(F$18,2)=7</formula>
    </cfRule>
    <cfRule type="expression" dxfId="107" priority="18">
      <formula>WEEKDAY(F$18,2)=6</formula>
    </cfRule>
  </conditionalFormatting>
  <conditionalFormatting sqref="F53:AJ54">
    <cfRule type="containsText" dxfId="106" priority="11" operator="containsText" text="x">
      <formula>NOT(ISERROR(SEARCH("x",F53)))</formula>
    </cfRule>
  </conditionalFormatting>
  <conditionalFormatting sqref="J3:L3">
    <cfRule type="expression" dxfId="105" priority="1">
      <formula>B_fldSaldoVJ=0</formula>
    </cfRule>
  </conditionalFormatting>
  <conditionalFormatting sqref="AB3:AD3">
    <cfRule type="expression" dxfId="102" priority="2">
      <formula>H_fldFerienEndSaldo&lt;0</formula>
    </cfRule>
  </conditionalFormatting>
  <conditionalFormatting sqref="AG18:AJ21 AG23:AJ29 AG31:AJ34 AG36:AJ51 AG53:AJ54">
    <cfRule type="expression" dxfId="101" priority="6">
      <formula>AND(AG$14=0,$B18&lt;&gt;0)</formula>
    </cfRule>
    <cfRule type="expression" dxfId="100" priority="7">
      <formula>AG$15=2</formula>
    </cfRule>
  </conditionalFormatting>
  <conditionalFormatting sqref="AJ17:AJ21 AJ23:AJ29 AJ31:AJ34 AJ36:AJ51 AJ53:AJ54">
    <cfRule type="expression" dxfId="99" priority="5">
      <formula>AK$15="m"</formula>
    </cfRule>
  </conditionalFormatting>
  <dataValidations count="11"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095CA2C5-7F33-47A8-82B2-417ADCB67664}">
      <formula1>-4000</formula1>
      <formula2>24</formula2>
    </dataValidation>
    <dataValidation type="custom" operator="greaterThanOrEqual" showErrorMessage="1" errorTitle="Karenztag" error="Zuerst Stunden im Feld &quot;Krankheit&quot; erfassen!" sqref="F53:AJ53" xr:uid="{05C409B3-F7D3-40E9-9D24-8502F25385AA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E42F290F-7BF4-4E88-A55B-7FCAA675A161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4B30765C-D126-469E-AD3B-59558513D2C3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D5651A15-3553-4AED-9AB0-76A920A5A21C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E950BAC7-3B13-4A5C-BDD2-D6CB84244A71}"/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F185E67B-4EB6-48B5-8E71-6EE5C5278428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FBBDC0FB-63C1-4114-BF73-A24369290EDF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2F03E72C-5DFE-4728-A79F-15CD88CE683A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8A471FD5-7B7E-44EC-9363-5058C0389DE1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9:AK50" xr:uid="{E7408CC4-A64A-4C0E-8DE7-81128BF0836C}">
      <formula1>-4000</formula1>
    </dataValidation>
  </dataValidations>
  <hyperlinks>
    <hyperlink ref="AJ12" location="Jahresauswertung!H3" display="." xr:uid="{744B9E39-2F03-4D51-869A-5A26A5D1ACF1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8F84FEE-3BE1-4660-8496-B52CA5D8D13E}">
            <xm:f>'report annuel'!$X$34=0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EDCF7608-571F-4627-BFB1-8C332E5504D2}">
            <xm:f>'report annuel'!$X$34&lt;0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71D33-CE3B-45B3-A928-63F0238A2449}">
  <sheetPr codeName="ts08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"/>
      <selection pane="bottomLeft" activeCell="R27" sqref="R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13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13"/>
      <c r="F3" s="550" t="str">
        <f>H_Label!B32</f>
        <v>heures année passée</v>
      </c>
      <c r="G3" s="551"/>
      <c r="H3" s="551"/>
      <c r="I3" s="551"/>
      <c r="J3" s="812" t="str">
        <f>TEXT('report annuel'!$X$34,"0.00")&amp;" / "&amp;TEXT(B_fldSaldoVJ,"0.00")</f>
        <v>0.00 / 0.00</v>
      </c>
      <c r="K3" s="812"/>
      <c r="L3" s="812"/>
      <c r="M3" s="552"/>
      <c r="N3" s="552"/>
      <c r="O3" s="550" t="str">
        <f>H_Label!B33</f>
        <v>heures année en cours</v>
      </c>
      <c r="P3" s="551"/>
      <c r="Q3" s="551"/>
      <c r="R3" s="551"/>
      <c r="S3" s="551"/>
      <c r="T3" s="831">
        <f>'report annuel'!$AD$43</f>
        <v>-2016</v>
      </c>
      <c r="U3" s="831"/>
      <c r="V3" s="831"/>
      <c r="W3" s="552"/>
      <c r="X3" s="552"/>
      <c r="Y3" s="550" t="str">
        <f>H_Label!B34</f>
        <v>se des vacences</v>
      </c>
      <c r="Z3" s="551"/>
      <c r="AA3" s="551"/>
      <c r="AB3" s="812" t="str">
        <f ca="1">TEXT(H_fldFerienEndSaldo,"0.00")&amp;" / "&amp;TEXT(H_fldFerienSaldoKORR,"0.00")</f>
        <v>176.00 / 176.00</v>
      </c>
      <c r="AC3" s="812"/>
      <c r="AD3" s="812"/>
      <c r="AF3" s="148"/>
      <c r="AG3" s="148"/>
      <c r="AH3" s="148"/>
      <c r="AI3" s="148"/>
      <c r="AJ3" s="148"/>
    </row>
    <row r="4" spans="1:46" ht="13.5" customHeight="1" x14ac:dyDescent="0.25">
      <c r="D4" s="813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taux d'occupation réel</v>
      </c>
      <c r="AH5" s="527"/>
      <c r="AI5" s="830">
        <f>AN54</f>
        <v>1</v>
      </c>
      <c r="AJ5" s="830"/>
      <c r="AK5" s="388"/>
    </row>
    <row r="6" spans="1:46" ht="27.95" customHeight="1" x14ac:dyDescent="0.25">
      <c r="D6" s="174" t="str">
        <f>H_Label!$B$221 &amp;" "&amp;TEXT('fiche du personnel'!$U$1,"JJJJ")</f>
        <v>Contrôle des heures de travail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28" t="str">
        <f>'fiche du personnel'!$G$3</f>
        <v>Peinture Exemple SA</v>
      </c>
      <c r="Z6" s="828"/>
      <c r="AA6" s="828"/>
      <c r="AB6" s="828"/>
      <c r="AC6" s="828"/>
      <c r="AD6" s="828"/>
      <c r="AE6" s="828"/>
      <c r="AF6" s="828"/>
      <c r="AG6" s="828"/>
      <c r="AH6" s="828"/>
      <c r="AI6" s="828"/>
      <c r="AJ6" s="829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employé</v>
      </c>
      <c r="E8" s="31"/>
      <c r="F8" s="820" t="str">
        <f>'fiche du personnel'!$G$6</f>
        <v>Martin Dupont</v>
      </c>
      <c r="G8" s="821"/>
      <c r="H8" s="821"/>
      <c r="I8" s="821"/>
      <c r="J8" s="821"/>
      <c r="K8" s="822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occupation (%)</v>
      </c>
      <c r="E9" s="374"/>
      <c r="F9" s="823" cm="1">
        <f t="array" ref="F9">SUMPRODUCT((H_tblBGMnt=M_Monat)*H_tblBGavg)</f>
        <v>100</v>
      </c>
      <c r="G9" s="824"/>
      <c r="H9" s="825" t="str">
        <f>H_Label!B224&amp;" "&amp;D12</f>
        <v>en août</v>
      </c>
      <c r="I9" s="826"/>
      <c r="J9" s="826"/>
      <c r="K9" s="827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se pour l'année</v>
      </c>
      <c r="E10" s="89"/>
      <c r="F10" s="838">
        <f>DATE(A_Jahr,AM13,1)</f>
        <v>46235</v>
      </c>
      <c r="G10" s="839"/>
      <c r="H10" s="840">
        <f>'report annuel'!AF42</f>
        <v>-2016</v>
      </c>
      <c r="I10" s="841"/>
      <c r="J10" s="841"/>
      <c r="K10" s="842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11" t="s">
        <v>501</v>
      </c>
      <c r="D12" s="494" t="str">
        <f>TEXT($F$10,"MMMM"&amp;H_Label!$B$23)</f>
        <v>août</v>
      </c>
      <c r="E12" s="375"/>
      <c r="F12" s="843" t="str">
        <f>H_Label!B231</f>
        <v>se mois + / -</v>
      </c>
      <c r="G12" s="844"/>
      <c r="H12" s="844"/>
      <c r="I12" s="845"/>
      <c r="J12" s="846" cm="1">
        <f t="array" ref="J12">INDEX(H_dMNTCurrentSaldo,1,M_Monat)</f>
        <v>-168</v>
      </c>
      <c r="K12" s="847"/>
      <c r="L12" s="157"/>
      <c r="M12" s="158"/>
      <c r="N12" s="202"/>
      <c r="O12" s="159" t="str">
        <f>H_Label!B240</f>
        <v xml:space="preserve"> = </v>
      </c>
      <c r="P12" s="151" t="str">
        <f>H_Label!B241</f>
        <v>seules les cases/champs jaunes sont saisissables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11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8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11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1</v>
      </c>
      <c r="AI14" s="410">
        <f t="shared" si="0"/>
        <v>1</v>
      </c>
      <c r="AJ14" s="411">
        <f t="shared" si="0"/>
        <v>1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11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3</v>
      </c>
      <c r="AH15" s="418">
        <f t="shared" si="1"/>
        <v>3</v>
      </c>
      <c r="AI15" s="418">
        <f t="shared" si="1"/>
        <v>3</v>
      </c>
      <c r="AJ15" s="419">
        <f t="shared" si="1"/>
        <v>2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46235</v>
      </c>
      <c r="G16" s="422">
        <f>F$16+1</f>
        <v>46236</v>
      </c>
      <c r="H16" s="422">
        <f t="shared" ref="H16:AJ16" si="2">G$16+1</f>
        <v>46237</v>
      </c>
      <c r="I16" s="422">
        <f t="shared" si="2"/>
        <v>46238</v>
      </c>
      <c r="J16" s="422">
        <f t="shared" si="2"/>
        <v>46239</v>
      </c>
      <c r="K16" s="422">
        <f t="shared" si="2"/>
        <v>46240</v>
      </c>
      <c r="L16" s="423">
        <f t="shared" si="2"/>
        <v>46241</v>
      </c>
      <c r="M16" s="423">
        <f t="shared" si="2"/>
        <v>46242</v>
      </c>
      <c r="N16" s="424">
        <f t="shared" si="2"/>
        <v>46243</v>
      </c>
      <c r="O16" s="425">
        <f t="shared" si="2"/>
        <v>46244</v>
      </c>
      <c r="P16" s="425">
        <f t="shared" si="2"/>
        <v>46245</v>
      </c>
      <c r="Q16" s="425">
        <f t="shared" si="2"/>
        <v>46246</v>
      </c>
      <c r="R16" s="425">
        <f t="shared" si="2"/>
        <v>46247</v>
      </c>
      <c r="S16" s="425">
        <f t="shared" si="2"/>
        <v>46248</v>
      </c>
      <c r="T16" s="425">
        <f t="shared" si="2"/>
        <v>46249</v>
      </c>
      <c r="U16" s="425">
        <f t="shared" si="2"/>
        <v>46250</v>
      </c>
      <c r="V16" s="425">
        <f t="shared" si="2"/>
        <v>46251</v>
      </c>
      <c r="W16" s="425">
        <f t="shared" si="2"/>
        <v>46252</v>
      </c>
      <c r="X16" s="425">
        <f t="shared" si="2"/>
        <v>46253</v>
      </c>
      <c r="Y16" s="425">
        <f t="shared" si="2"/>
        <v>46254</v>
      </c>
      <c r="Z16" s="425">
        <f t="shared" si="2"/>
        <v>46255</v>
      </c>
      <c r="AA16" s="425">
        <f t="shared" si="2"/>
        <v>46256</v>
      </c>
      <c r="AB16" s="425">
        <f t="shared" si="2"/>
        <v>46257</v>
      </c>
      <c r="AC16" s="425">
        <f t="shared" si="2"/>
        <v>46258</v>
      </c>
      <c r="AD16" s="425">
        <f t="shared" si="2"/>
        <v>46259</v>
      </c>
      <c r="AE16" s="425">
        <f t="shared" si="2"/>
        <v>46260</v>
      </c>
      <c r="AF16" s="426">
        <f t="shared" si="2"/>
        <v>46261</v>
      </c>
      <c r="AG16" s="426">
        <f t="shared" si="2"/>
        <v>46262</v>
      </c>
      <c r="AH16" s="426">
        <f t="shared" si="2"/>
        <v>46263</v>
      </c>
      <c r="AI16" s="426">
        <f t="shared" si="2"/>
        <v>46264</v>
      </c>
      <c r="AJ16" s="427">
        <f t="shared" si="2"/>
        <v>46265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semaine civile</v>
      </c>
      <c r="E17" s="291"/>
      <c r="F17" s="205">
        <f>WEEKNUM(F$16,21)</f>
        <v>31</v>
      </c>
      <c r="G17" s="203">
        <f t="shared" ref="G17:AJ17" si="3">WEEKNUM(G$16,21)</f>
        <v>31</v>
      </c>
      <c r="H17" s="203">
        <f t="shared" si="3"/>
        <v>32</v>
      </c>
      <c r="I17" s="203">
        <f t="shared" si="3"/>
        <v>32</v>
      </c>
      <c r="J17" s="203">
        <f t="shared" si="3"/>
        <v>32</v>
      </c>
      <c r="K17" s="203">
        <f t="shared" si="3"/>
        <v>32</v>
      </c>
      <c r="L17" s="203">
        <f t="shared" si="3"/>
        <v>32</v>
      </c>
      <c r="M17" s="203">
        <f t="shared" si="3"/>
        <v>32</v>
      </c>
      <c r="N17" s="203">
        <f t="shared" si="3"/>
        <v>32</v>
      </c>
      <c r="O17" s="203">
        <f t="shared" si="3"/>
        <v>33</v>
      </c>
      <c r="P17" s="203">
        <f t="shared" si="3"/>
        <v>33</v>
      </c>
      <c r="Q17" s="203">
        <f t="shared" si="3"/>
        <v>33</v>
      </c>
      <c r="R17" s="203">
        <f t="shared" si="3"/>
        <v>33</v>
      </c>
      <c r="S17" s="203">
        <f t="shared" si="3"/>
        <v>33</v>
      </c>
      <c r="T17" s="203">
        <f t="shared" si="3"/>
        <v>33</v>
      </c>
      <c r="U17" s="203">
        <f t="shared" si="3"/>
        <v>33</v>
      </c>
      <c r="V17" s="203">
        <f t="shared" si="3"/>
        <v>34</v>
      </c>
      <c r="W17" s="203">
        <f t="shared" si="3"/>
        <v>34</v>
      </c>
      <c r="X17" s="203">
        <f t="shared" si="3"/>
        <v>34</v>
      </c>
      <c r="Y17" s="203">
        <f t="shared" si="3"/>
        <v>34</v>
      </c>
      <c r="Z17" s="203">
        <f t="shared" si="3"/>
        <v>34</v>
      </c>
      <c r="AA17" s="203">
        <f t="shared" si="3"/>
        <v>34</v>
      </c>
      <c r="AB17" s="203">
        <f t="shared" si="3"/>
        <v>34</v>
      </c>
      <c r="AC17" s="203">
        <f t="shared" si="3"/>
        <v>35</v>
      </c>
      <c r="AD17" s="203">
        <f t="shared" si="3"/>
        <v>35</v>
      </c>
      <c r="AE17" s="203">
        <f t="shared" si="3"/>
        <v>35</v>
      </c>
      <c r="AF17" s="203">
        <f t="shared" si="3"/>
        <v>35</v>
      </c>
      <c r="AG17" s="203">
        <f t="shared" si="3"/>
        <v>35</v>
      </c>
      <c r="AH17" s="203">
        <f t="shared" si="3"/>
        <v>35</v>
      </c>
      <c r="AI17" s="203">
        <f t="shared" si="3"/>
        <v>35</v>
      </c>
      <c r="AJ17" s="204">
        <f t="shared" si="3"/>
        <v>36</v>
      </c>
      <c r="AK17" s="398"/>
      <c r="AL17" s="114" cm="1">
        <f t="array" ref="AL17">SUM(IF(FREQUENCY(F17:AJ17,F17:AJ17)&gt;0,1))</f>
        <v>6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46235</v>
      </c>
      <c r="G18" s="28">
        <f t="shared" ref="G18:AJ18" si="4">IF(G14,G16,0)</f>
        <v>46236</v>
      </c>
      <c r="H18" s="27">
        <f t="shared" si="4"/>
        <v>46237</v>
      </c>
      <c r="I18" s="27">
        <f t="shared" si="4"/>
        <v>46238</v>
      </c>
      <c r="J18" s="27">
        <f t="shared" si="4"/>
        <v>46239</v>
      </c>
      <c r="K18" s="27">
        <f t="shared" si="4"/>
        <v>46240</v>
      </c>
      <c r="L18" s="27">
        <f t="shared" si="4"/>
        <v>46241</v>
      </c>
      <c r="M18" s="27">
        <f t="shared" si="4"/>
        <v>46242</v>
      </c>
      <c r="N18" s="27">
        <f t="shared" si="4"/>
        <v>46243</v>
      </c>
      <c r="O18" s="27">
        <f t="shared" si="4"/>
        <v>46244</v>
      </c>
      <c r="P18" s="27">
        <f t="shared" si="4"/>
        <v>46245</v>
      </c>
      <c r="Q18" s="27">
        <f t="shared" si="4"/>
        <v>46246</v>
      </c>
      <c r="R18" s="27">
        <f t="shared" si="4"/>
        <v>46247</v>
      </c>
      <c r="S18" s="27">
        <f t="shared" si="4"/>
        <v>46248</v>
      </c>
      <c r="T18" s="27">
        <f t="shared" si="4"/>
        <v>46249</v>
      </c>
      <c r="U18" s="27">
        <f t="shared" si="4"/>
        <v>46250</v>
      </c>
      <c r="V18" s="27">
        <f t="shared" si="4"/>
        <v>46251</v>
      </c>
      <c r="W18" s="27">
        <f t="shared" si="4"/>
        <v>46252</v>
      </c>
      <c r="X18" s="27">
        <f t="shared" si="4"/>
        <v>46253</v>
      </c>
      <c r="Y18" s="27">
        <f t="shared" si="4"/>
        <v>46254</v>
      </c>
      <c r="Z18" s="27">
        <f t="shared" si="4"/>
        <v>46255</v>
      </c>
      <c r="AA18" s="27">
        <f t="shared" si="4"/>
        <v>46256</v>
      </c>
      <c r="AB18" s="27">
        <f t="shared" si="4"/>
        <v>46257</v>
      </c>
      <c r="AC18" s="27">
        <f t="shared" si="4"/>
        <v>46258</v>
      </c>
      <c r="AD18" s="27">
        <f t="shared" si="4"/>
        <v>46259</v>
      </c>
      <c r="AE18" s="27">
        <f t="shared" si="4"/>
        <v>46260</v>
      </c>
      <c r="AF18" s="27">
        <f t="shared" si="4"/>
        <v>46261</v>
      </c>
      <c r="AG18" s="27">
        <f t="shared" si="4"/>
        <v>46262</v>
      </c>
      <c r="AH18" s="27">
        <f t="shared" si="4"/>
        <v>46263</v>
      </c>
      <c r="AI18" s="198">
        <f t="shared" si="4"/>
        <v>46264</v>
      </c>
      <c r="AJ18" s="198">
        <f t="shared" si="4"/>
        <v>46265</v>
      </c>
      <c r="AK18" s="399"/>
      <c r="AL18" s="115">
        <f>_xlfn.DAYS(EOMONTH($F$18,0),$F$18)+1</f>
        <v>31</v>
      </c>
      <c r="AM18" s="287">
        <f>AL19*A_fldSollTagStd</f>
        <v>168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sam.</v>
      </c>
      <c r="G19" s="92" t="str">
        <f>IF(G14=1,TEXT(G$18,H_Label!$B$24&amp;"TTT"),0)</f>
        <v>dim.</v>
      </c>
      <c r="H19" s="92" t="str">
        <f>IF(H14=1,TEXT(H$18,H_Label!$B$24&amp;"TTT"),0)</f>
        <v>lun.</v>
      </c>
      <c r="I19" s="92" t="str">
        <f>IF(I14=1,TEXT(I$18,H_Label!$B$24&amp;"TTT"),0)</f>
        <v>mar.</v>
      </c>
      <c r="J19" s="92" t="str">
        <f>IF(J14=1,TEXT(J$18,H_Label!$B$24&amp;"TTT"),0)</f>
        <v>mer.</v>
      </c>
      <c r="K19" s="92" t="str">
        <f>IF(K14=1,TEXT(K$18,H_Label!$B$24&amp;"TTT"),0)</f>
        <v>jeu.</v>
      </c>
      <c r="L19" s="92" t="str">
        <f>IF(L14=1,TEXT(L$18,H_Label!$B$24&amp;"TTT"),0)</f>
        <v>ven.</v>
      </c>
      <c r="M19" s="92" t="str">
        <f>IF(M14=1,TEXT(M$18,H_Label!$B$24&amp;"TTT"),0)</f>
        <v>sam.</v>
      </c>
      <c r="N19" s="92" t="str">
        <f>IF(N14=1,TEXT(N$18,H_Label!$B$24&amp;"TTT"),0)</f>
        <v>dim.</v>
      </c>
      <c r="O19" s="92" t="str">
        <f>IF(O14=1,TEXT(O$18,H_Label!$B$24&amp;"TTT"),0)</f>
        <v>lun.</v>
      </c>
      <c r="P19" s="92" t="str">
        <f>IF(P14=1,TEXT(P$18,H_Label!$B$24&amp;"TTT"),0)</f>
        <v>mar.</v>
      </c>
      <c r="Q19" s="92" t="str">
        <f>IF(Q14=1,TEXT(Q$18,H_Label!$B$24&amp;"TTT"),0)</f>
        <v>mer.</v>
      </c>
      <c r="R19" s="92" t="str">
        <f>IF(R14=1,TEXT(R$18,H_Label!$B$24&amp;"TTT"),0)</f>
        <v>jeu.</v>
      </c>
      <c r="S19" s="92" t="str">
        <f>IF(S14=1,TEXT(S$18,H_Label!$B$24&amp;"TTT"),0)</f>
        <v>ven.</v>
      </c>
      <c r="T19" s="92" t="str">
        <f>IF(T14=1,TEXT(T$18,H_Label!$B$24&amp;"TTT"),0)</f>
        <v>sam.</v>
      </c>
      <c r="U19" s="92" t="str">
        <f>IF(U14=1,TEXT(U$18,H_Label!$B$24&amp;"TTT"),0)</f>
        <v>dim.</v>
      </c>
      <c r="V19" s="92" t="str">
        <f>IF(V14=1,TEXT(V$18,H_Label!$B$24&amp;"TTT"),0)</f>
        <v>lun.</v>
      </c>
      <c r="W19" s="92" t="str">
        <f>IF(W14=1,TEXT(W$18,H_Label!$B$24&amp;"TTT"),0)</f>
        <v>mar.</v>
      </c>
      <c r="X19" s="92" t="str">
        <f>IF(X14=1,TEXT(X$18,H_Label!$B$24&amp;"TTT"),0)</f>
        <v>mer.</v>
      </c>
      <c r="Y19" s="92" t="str">
        <f>IF(Y14=1,TEXT(Y$18,H_Label!$B$24&amp;"TTT"),0)</f>
        <v>jeu.</v>
      </c>
      <c r="Z19" s="92" t="str">
        <f>IF(Z14=1,TEXT(Z$18,H_Label!$B$24&amp;"TTT"),0)</f>
        <v>ven.</v>
      </c>
      <c r="AA19" s="92" t="str">
        <f>IF(AA14=1,TEXT(AA$18,H_Label!$B$24&amp;"TTT"),0)</f>
        <v>sam.</v>
      </c>
      <c r="AB19" s="92" t="str">
        <f>IF(AB14=1,TEXT(AB$18,H_Label!$B$24&amp;"TTT"),0)</f>
        <v>dim.</v>
      </c>
      <c r="AC19" s="92" t="str">
        <f>IF(AC14=1,TEXT(AC$18,H_Label!$B$24&amp;"TTT"),0)</f>
        <v>lun.</v>
      </c>
      <c r="AD19" s="92" t="str">
        <f>IF(AD14=1,TEXT(AD$18,H_Label!$B$24&amp;"TTT"),0)</f>
        <v>mar.</v>
      </c>
      <c r="AE19" s="92" t="str">
        <f>IF(AE14=1,TEXT(AE$18,H_Label!$B$24&amp;"TTT"),0)</f>
        <v>mer.</v>
      </c>
      <c r="AF19" s="92" t="str">
        <f>IF(AF14=1,TEXT(AF$18,H_Label!$B$24&amp;"TTT"),0)</f>
        <v>jeu.</v>
      </c>
      <c r="AG19" s="92" t="str">
        <f>IF(AG14=1,TEXT(AG$18,H_Label!$B$24&amp;"TTT"),0)</f>
        <v>ven.</v>
      </c>
      <c r="AH19" s="92" t="str">
        <f>IF(AH14=1,TEXT(AH$18,H_Label!$B$24&amp;"TTT"),0)</f>
        <v>sam.</v>
      </c>
      <c r="AI19" s="92" t="str">
        <f>IF(AI14=1,TEXT(AI$18,H_Label!$B$24&amp;"TTT"),0)</f>
        <v>dim.</v>
      </c>
      <c r="AJ19" s="92" t="str">
        <f>IF(AJ14=1,TEXT(AJ$18,H_Label!$B$24&amp;"TTT"),0)</f>
        <v>lun.</v>
      </c>
      <c r="AK19" s="400"/>
      <c r="AL19" s="117">
        <f>NETWORKDAYS($F$18,EOMONTH($F$18,0))</f>
        <v>21</v>
      </c>
      <c r="AM19" s="288">
        <f>SUM(F20:AJ20)</f>
        <v>168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heures théorique</v>
      </c>
      <c r="E20" s="19"/>
      <c r="F20" s="26" cm="1">
        <f t="array" ref="F20">IF(OR(F14=0,F54="x"),0,A_fldSollTagStd*SUMPRODUCT((H_tblBGTage=WEEKDAY(F16,2))*(H_tblBGMnt=M_Monat)*H_tblBG%))</f>
        <v>0</v>
      </c>
      <c r="G20" s="26" cm="1">
        <f t="array" ref="G20">IF(OR(G14=0,G54="x"),0,A_fldSollTagStd*SUMPRODUCT((H_tblBGTage=WEEKDAY(G16,2))*(H_tblBGMnt=M_Monat)*H_tblBG%))</f>
        <v>0</v>
      </c>
      <c r="H20" s="26" cm="1">
        <f t="array" ref="H20">IF(OR(H14=0,H54="x"),0,A_fldSollTagStd*SUMPRODUCT((H_tblBGTage=WEEKDAY(H16,2))*(H_tblBGMnt=M_Monat)*H_tblBG%))</f>
        <v>8</v>
      </c>
      <c r="I20" s="26" cm="1">
        <f t="array" ref="I20">IF(OR(I14=0,I54="x"),0,A_fldSollTagStd*SUMPRODUCT((H_tblBGTage=WEEKDAY(I16,2))*(H_tblBGMnt=M_Monat)*H_tblBG%))</f>
        <v>8</v>
      </c>
      <c r="J20" s="26" cm="1">
        <f t="array" ref="J20">IF(OR(J14=0,J54="x"),0,A_fldSollTagStd*SUMPRODUCT((H_tblBGTage=WEEKDAY(J16,2))*(H_tblBGMnt=M_Monat)*H_tblBG%))</f>
        <v>8</v>
      </c>
      <c r="K20" s="26" cm="1">
        <f t="array" ref="K20">IF(OR(K14=0,K54="x"),0,A_fldSollTagStd*SUMPRODUCT((H_tblBGTage=WEEKDAY(K16,2))*(H_tblBGMnt=M_Monat)*H_tblBG%))</f>
        <v>8</v>
      </c>
      <c r="L20" s="26" cm="1">
        <f t="array" ref="L20">IF(OR(L14=0,L54="x"),0,A_fldSollTagStd*SUMPRODUCT((H_tblBGTage=WEEKDAY(L16,2))*(H_tblBGMnt=M_Monat)*H_tblBG%))</f>
        <v>8</v>
      </c>
      <c r="M20" s="26" cm="1">
        <f t="array" ref="M20">IF(OR(M14=0,M54="x"),0,A_fldSollTagStd*SUMPRODUCT((H_tblBGTage=WEEKDAY(M16,2))*(H_tblBGMnt=M_Monat)*H_tblBG%))</f>
        <v>0</v>
      </c>
      <c r="N20" s="26" cm="1">
        <f t="array" ref="N20">IF(OR(N14=0,N54="x"),0,A_fldSollTagStd*SUMPRODUCT((H_tblBGTage=WEEKDAY(N16,2))*(H_tblBGMnt=M_Monat)*H_tblBG%))</f>
        <v>0</v>
      </c>
      <c r="O20" s="26" cm="1">
        <f t="array" ref="O20">IF(OR(O14=0,O54="x"),0,A_fldSollTagStd*SUMPRODUCT((H_tblBGTage=WEEKDAY(O16,2))*(H_tblBGMnt=M_Monat)*H_tblBG%))</f>
        <v>8</v>
      </c>
      <c r="P20" s="26" cm="1">
        <f t="array" ref="P20">IF(OR(P14=0,P54="x"),0,A_fldSollTagStd*SUMPRODUCT((H_tblBGTage=WEEKDAY(P16,2))*(H_tblBGMnt=M_Monat)*H_tblBG%))</f>
        <v>8</v>
      </c>
      <c r="Q20" s="26" cm="1">
        <f t="array" ref="Q20">IF(OR(Q14=0,Q54="x"),0,A_fldSollTagStd*SUMPRODUCT((H_tblBGTage=WEEKDAY(Q16,2))*(H_tblBGMnt=M_Monat)*H_tblBG%))</f>
        <v>8</v>
      </c>
      <c r="R20" s="26" cm="1">
        <f t="array" ref="R20">IF(OR(R14=0,R54="x"),0,A_fldSollTagStd*SUMPRODUCT((H_tblBGTage=WEEKDAY(R16,2))*(H_tblBGMnt=M_Monat)*H_tblBG%))</f>
        <v>8</v>
      </c>
      <c r="S20" s="26" cm="1">
        <f t="array" ref="S20">IF(OR(S14=0,S54="x"),0,A_fldSollTagStd*SUMPRODUCT((H_tblBGTage=WEEKDAY(S16,2))*(H_tblBGMnt=M_Monat)*H_tblBG%))</f>
        <v>8</v>
      </c>
      <c r="T20" s="26" cm="1">
        <f t="array" ref="T20">IF(OR(T14=0,T54="x"),0,A_fldSollTagStd*SUMPRODUCT((H_tblBGTage=WEEKDAY(T16,2))*(H_tblBGMnt=M_Monat)*H_tblBG%))</f>
        <v>0</v>
      </c>
      <c r="U20" s="26" cm="1">
        <f t="array" ref="U20">IF(OR(U14=0,U54="x"),0,A_fldSollTagStd*SUMPRODUCT((H_tblBGTage=WEEKDAY(U16,2))*(H_tblBGMnt=M_Monat)*H_tblBG%))</f>
        <v>0</v>
      </c>
      <c r="V20" s="26" cm="1">
        <f t="array" ref="V20">IF(OR(V14=0,V54="x"),0,A_fldSollTagStd*SUMPRODUCT((H_tblBGTage=WEEKDAY(V16,2))*(H_tblBGMnt=M_Monat)*H_tblBG%))</f>
        <v>8</v>
      </c>
      <c r="W20" s="26" cm="1">
        <f t="array" ref="W20">IF(OR(W14=0,W54="x"),0,A_fldSollTagStd*SUMPRODUCT((H_tblBGTage=WEEKDAY(W16,2))*(H_tblBGMnt=M_Monat)*H_tblBG%))</f>
        <v>8</v>
      </c>
      <c r="X20" s="26" cm="1">
        <f t="array" ref="X20">IF(OR(X14=0,X54="x"),0,A_fldSollTagStd*SUMPRODUCT((H_tblBGTage=WEEKDAY(X16,2))*(H_tblBGMnt=M_Monat)*H_tblBG%))</f>
        <v>8</v>
      </c>
      <c r="Y20" s="26" cm="1">
        <f t="array" ref="Y20">IF(OR(Y14=0,Y54="x"),0,A_fldSollTagStd*SUMPRODUCT((H_tblBGTage=WEEKDAY(Y16,2))*(H_tblBGMnt=M_Monat)*H_tblBG%))</f>
        <v>8</v>
      </c>
      <c r="Z20" s="26" cm="1">
        <f t="array" ref="Z20">IF(OR(Z14=0,Z54="x"),0,A_fldSollTagStd*SUMPRODUCT((H_tblBGTage=WEEKDAY(Z16,2))*(H_tblBGMnt=M_Monat)*H_tblBG%))</f>
        <v>8</v>
      </c>
      <c r="AA20" s="26" cm="1">
        <f t="array" ref="AA20">IF(OR(AA14=0,AA54="x"),0,A_fldSollTagStd*SUMPRODUCT((H_tblBGTage=WEEKDAY(AA16,2))*(H_tblBGMnt=M_Monat)*H_tblBG%))</f>
        <v>0</v>
      </c>
      <c r="AB20" s="26" cm="1">
        <f t="array" ref="AB20">IF(OR(AB14=0,AB54="x"),0,A_fldSollTagStd*SUMPRODUCT((H_tblBGTage=WEEKDAY(AB16,2))*(H_tblBGMnt=M_Monat)*H_tblBG%))</f>
        <v>0</v>
      </c>
      <c r="AC20" s="26" cm="1">
        <f t="array" ref="AC20">IF(OR(AC14=0,AC54="x"),0,A_fldSollTagStd*SUMPRODUCT((H_tblBGTage=WEEKDAY(AC16,2))*(H_tblBGMnt=M_Monat)*H_tblBG%))</f>
        <v>8</v>
      </c>
      <c r="AD20" s="26" cm="1">
        <f t="array" ref="AD20">IF(OR(AD14=0,AD54="x"),0,A_fldSollTagStd*SUMPRODUCT((H_tblBGTage=WEEKDAY(AD16,2))*(H_tblBGMnt=M_Monat)*H_tblBG%))</f>
        <v>8</v>
      </c>
      <c r="AE20" s="26" cm="1">
        <f t="array" ref="AE20">IF(OR(AE14=0,AE54="x"),0,A_fldSollTagStd*SUMPRODUCT((H_tblBGTage=WEEKDAY(AE16,2))*(H_tblBGMnt=M_Monat)*H_tblBG%))</f>
        <v>8</v>
      </c>
      <c r="AF20" s="26" cm="1">
        <f t="array" ref="AF20">IF(OR(AF14=0,AF54="x"),0,A_fldSollTagStd*SUMPRODUCT((H_tblBGTage=WEEKDAY(AF16,2))*(H_tblBGMnt=M_Monat)*H_tblBG%))</f>
        <v>8</v>
      </c>
      <c r="AG20" s="26" cm="1">
        <f t="array" ref="AG20">IF(OR(AG14=0,AG54="x"),0,A_fldSollTagStd*SUMPRODUCT((H_tblBGTage=WEEKDAY(AG16,2))*(H_tblBGMnt=M_Monat)*H_tblBG%))</f>
        <v>8</v>
      </c>
      <c r="AH20" s="26" cm="1">
        <f t="array" ref="AH20">IF(OR(AH14=0,AH54="x"),0,A_fldSollTagStd*SUMPRODUCT((H_tblBGTage=WEEKDAY(AH16,2))*(H_tblBGMnt=M_Monat)*H_tblBG%))</f>
        <v>0</v>
      </c>
      <c r="AI20" s="199" cm="1">
        <f t="array" ref="AI20">IF(OR(AI14=0,AI54="x"),0,A_fldSollTagStd*SUMPRODUCT((H_tblBGTage=WEEKDAY(AI16,2))*(H_tblBGMnt=M_Monat)*H_tblBG%))</f>
        <v>0</v>
      </c>
      <c r="AJ20" s="199" cm="1">
        <f t="array" ref="AJ20">IF(OR(AJ14=0,AJ54="x"),0,A_fldSollTagStd*SUMPRODUCT((H_tblBGTage=WEEKDAY(AJ16,2))*(H_tblBGMnt=M_Monat)*H_tblBG%))</f>
        <v>8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jours fériés</v>
      </c>
      <c r="E21" s="20"/>
      <c r="F21" s="195" t="str" cm="1">
        <f t="array" ref="F21">INDEX(H_Calendar!$K$10:$K$375,MATCH(1,INDEX((H_Calendar!$E$10:$E$375=M_Monat)*(H_Calendar!$H$10:$H$375=DAY(F$18)),0,1),0))</f>
        <v/>
      </c>
      <c r="G21" s="195" t="str" cm="1">
        <f t="array" ref="G21">INDEX(H_Calendar!$K$10:$K$375,MATCH(1,INDEX((H_Calendar!$E$10:$E$375=M_Monat)*(H_Calendar!$H$10:$H$375=DAY(G$18)),0,1),0))</f>
        <v/>
      </c>
      <c r="H21" s="195" t="str" cm="1">
        <f t="array" ref="H21">INDEX(H_Calendar!$K$10:$K$375,MATCH(1,INDEX((H_Calendar!$E$10:$E$375=M_Monat)*(H_Calendar!$H$10:$H$375=DAY(H$18)),0,1),0))</f>
        <v/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/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/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/>
      </c>
      <c r="AD21" s="195" t="str" cm="1">
        <f t="array" ref="AD21">INDEX(H_Calendar!$K$10:$K$375,MATCH(1,INDEX((H_Calendar!$E$10:$E$375=M_Monat)*(H_Calendar!$H$10:$H$375=DAY(AD$18)),0,1),0))</f>
        <v/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0</v>
      </c>
      <c r="AM21" s="320">
        <f>COUNTIF(F21:AJ21,"ft")</f>
        <v>0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heures productives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x14ac:dyDescent="0.2">
      <c r="A25" s="252"/>
      <c r="B25" s="438"/>
      <c r="C25" s="252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customHeight="1" x14ac:dyDescent="0.2">
      <c r="A26" s="252"/>
      <c r="B26" s="438"/>
      <c r="C26" s="252">
        <v>4</v>
      </c>
      <c r="D26" s="606" t="str">
        <f>H_Label!B313</f>
        <v>temps de trajet (total)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déduction de temps de trajet = 0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total journalier y c. temp de trajet payé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total hebdomadaire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9" s="143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9" s="144" t="str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sept.</v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crédits et majorations</v>
      </c>
      <c r="E30" s="87"/>
      <c r="F30" s="145" t="str">
        <f>H_Label!B264</f>
        <v>1)  25% majoration temporelle pour depassement les heures maximales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majoration temporelle pour travail de nuit</v>
      </c>
      <c r="Q30" s="145"/>
      <c r="R30" s="145"/>
      <c r="S30" s="145"/>
      <c r="T30" s="145"/>
      <c r="U30" s="145"/>
      <c r="V30" s="145"/>
      <c r="W30" s="145" t="str">
        <f>H_Label!B266</f>
        <v>3) 100% majoration temporelle pour travail du dimanche et jour férié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Majoration  "jf"</v>
      </c>
      <c r="E31" s="23"/>
      <c r="F31" s="24">
        <f t="shared" ref="F31:AG31" si="8">IF(F21="ft",F20,0)</f>
        <v>0</v>
      </c>
      <c r="G31" s="24">
        <f t="shared" si="8"/>
        <v>0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0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0</v>
      </c>
      <c r="AD31" s="24">
        <f t="shared" si="8"/>
        <v>0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0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Majorations temp.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/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>sept.</v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Majorations temp.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Majorations temp.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>
        <f>H_Label!B273</f>
        <v>0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vacances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compensation année passée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42" si="11">SUM(F37:AJ37)</f>
        <v>0</v>
      </c>
      <c r="AM37" s="292">
        <f t="shared" ref="AM37:AM42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compensation année en cours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absences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maladie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accident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absences de grossesse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Congé de maternité/paternité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militaire/promotion/protection civile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ref="AL44:AL50" si="13">SUM(F44:AJ44)</f>
        <v>0</v>
      </c>
      <c r="AM44" s="292">
        <f t="shared" ref="AM44:AM50" si="14">COUNT(F44:AJ44)</f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école professionelle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3"/>
        <v>0</v>
      </c>
      <c r="AM45" s="292">
        <f t="shared" si="14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cours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3"/>
        <v>0</v>
      </c>
      <c r="AM46" s="292">
        <f t="shared" si="14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chômage partiel et intempéries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3"/>
        <v>0</v>
      </c>
      <c r="AM47" s="292">
        <f t="shared" si="14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arrêts définis par l'entreprise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3"/>
        <v>0</v>
      </c>
      <c r="AM48" s="292">
        <f t="shared" si="14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vacances non payées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3"/>
        <v>0</v>
      </c>
      <c r="AM49" s="292">
        <f t="shared" si="14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heures manquantes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3"/>
        <v>0</v>
      </c>
      <c r="AM50" s="292">
        <f t="shared" si="14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heures inproductives totales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5">ROUND(SUM(H39:H48),4)</f>
        <v>0</v>
      </c>
      <c r="I51" s="433">
        <f t="shared" si="15"/>
        <v>0</v>
      </c>
      <c r="J51" s="433">
        <f t="shared" si="15"/>
        <v>0</v>
      </c>
      <c r="K51" s="433">
        <f t="shared" si="15"/>
        <v>0</v>
      </c>
      <c r="L51" s="433">
        <f t="shared" si="15"/>
        <v>0</v>
      </c>
      <c r="M51" s="433">
        <f t="shared" si="15"/>
        <v>0</v>
      </c>
      <c r="N51" s="433">
        <f t="shared" si="15"/>
        <v>0</v>
      </c>
      <c r="O51" s="433">
        <f t="shared" si="15"/>
        <v>0</v>
      </c>
      <c r="P51" s="433">
        <f t="shared" si="15"/>
        <v>0</v>
      </c>
      <c r="Q51" s="433">
        <f t="shared" si="15"/>
        <v>0</v>
      </c>
      <c r="R51" s="433">
        <f t="shared" si="15"/>
        <v>0</v>
      </c>
      <c r="S51" s="433">
        <f t="shared" si="15"/>
        <v>0</v>
      </c>
      <c r="T51" s="433">
        <f t="shared" si="15"/>
        <v>0</v>
      </c>
      <c r="U51" s="433">
        <f t="shared" si="15"/>
        <v>0</v>
      </c>
      <c r="V51" s="433">
        <f t="shared" si="15"/>
        <v>0</v>
      </c>
      <c r="W51" s="433">
        <f t="shared" si="15"/>
        <v>0</v>
      </c>
      <c r="X51" s="433">
        <f t="shared" si="15"/>
        <v>0</v>
      </c>
      <c r="Y51" s="433">
        <f t="shared" si="15"/>
        <v>0</v>
      </c>
      <c r="Z51" s="433">
        <f t="shared" si="15"/>
        <v>0</v>
      </c>
      <c r="AA51" s="433">
        <f t="shared" si="15"/>
        <v>0</v>
      </c>
      <c r="AB51" s="433">
        <f t="shared" si="15"/>
        <v>0</v>
      </c>
      <c r="AC51" s="433">
        <f t="shared" si="15"/>
        <v>0</v>
      </c>
      <c r="AD51" s="433">
        <f t="shared" si="15"/>
        <v>0</v>
      </c>
      <c r="AE51" s="433">
        <f t="shared" si="15"/>
        <v>0</v>
      </c>
      <c r="AF51" s="433">
        <f t="shared" si="15"/>
        <v>0</v>
      </c>
      <c r="AG51" s="433">
        <f t="shared" si="15"/>
        <v>0</v>
      </c>
      <c r="AH51" s="433">
        <f t="shared" si="15"/>
        <v>0</v>
      </c>
      <c r="AI51" s="433">
        <f t="shared" si="15"/>
        <v>0</v>
      </c>
      <c r="AJ51" s="434">
        <f t="shared" si="15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contrôle et corrections</v>
      </c>
      <c r="E52" s="87"/>
      <c r="F52" s="146"/>
      <c r="G52" s="147" t="str">
        <f>H_Label!B292</f>
        <v>veuillez cocher les jours de correction avec "x"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jour de carence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exclure jour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21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corrections manuelles</v>
      </c>
      <c r="E56" s="149"/>
      <c r="F56" s="150" t="str">
        <f>H_Label!B298</f>
        <v>heures payées se année passée</v>
      </c>
      <c r="G56" s="150"/>
      <c r="H56" s="150"/>
      <c r="I56" s="150"/>
      <c r="J56" s="150"/>
      <c r="K56" s="835"/>
      <c r="L56" s="836"/>
      <c r="M56" s="837"/>
      <c r="N56" s="148"/>
      <c r="O56" s="148"/>
      <c r="P56" s="150" t="str">
        <f>H_Label!B299</f>
        <v>heures payées année en cours (heures supplémentaires)</v>
      </c>
      <c r="Q56" s="148"/>
      <c r="R56" s="148"/>
      <c r="S56" s="148"/>
      <c r="T56" s="148"/>
      <c r="U56" s="148"/>
      <c r="V56" s="148"/>
      <c r="W56" s="835"/>
      <c r="X56" s="836"/>
      <c r="Y56" s="837"/>
      <c r="Z56" s="148"/>
      <c r="AA56" s="150"/>
      <c r="AB56" s="148"/>
      <c r="AC56" s="148"/>
      <c r="AD56" s="150" t="str">
        <f>H_Label!B300</f>
        <v>vacances avoir / déduction</v>
      </c>
      <c r="AE56" s="150"/>
      <c r="AF56" s="150"/>
      <c r="AG56" s="150"/>
      <c r="AH56" s="835"/>
      <c r="AI56" s="836"/>
      <c r="AJ56" s="837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remarques</v>
      </c>
      <c r="E58" s="152"/>
      <c r="F58" s="814"/>
      <c r="G58" s="815"/>
      <c r="H58" s="815"/>
      <c r="I58" s="815"/>
      <c r="J58" s="815"/>
      <c r="K58" s="815"/>
      <c r="L58" s="815"/>
      <c r="M58" s="815"/>
      <c r="N58" s="815"/>
      <c r="O58" s="815"/>
      <c r="P58" s="815"/>
      <c r="Q58" s="815"/>
      <c r="R58" s="815"/>
      <c r="S58" s="815"/>
      <c r="T58" s="815"/>
      <c r="U58" s="815"/>
      <c r="V58" s="815"/>
      <c r="W58" s="815"/>
      <c r="X58" s="815"/>
      <c r="Y58" s="815"/>
      <c r="Z58" s="815"/>
      <c r="AA58" s="815"/>
      <c r="AB58" s="815"/>
      <c r="AC58" s="815"/>
      <c r="AD58" s="815"/>
      <c r="AE58" s="815"/>
      <c r="AF58" s="815"/>
      <c r="AG58" s="815"/>
      <c r="AH58" s="815"/>
      <c r="AI58" s="815"/>
      <c r="AJ58" s="816"/>
      <c r="AK58" s="396"/>
    </row>
    <row r="59" spans="1:46" ht="12" customHeight="1" x14ac:dyDescent="0.25">
      <c r="D59" s="153"/>
      <c r="E59" s="153"/>
      <c r="F59" s="817"/>
      <c r="G59" s="818"/>
      <c r="H59" s="818"/>
      <c r="I59" s="818"/>
      <c r="J59" s="818"/>
      <c r="K59" s="818"/>
      <c r="L59" s="818"/>
      <c r="M59" s="818"/>
      <c r="N59" s="818"/>
      <c r="O59" s="818"/>
      <c r="P59" s="818"/>
      <c r="Q59" s="818"/>
      <c r="R59" s="818"/>
      <c r="S59" s="818"/>
      <c r="T59" s="818"/>
      <c r="U59" s="818"/>
      <c r="V59" s="818"/>
      <c r="W59" s="818"/>
      <c r="X59" s="818"/>
      <c r="Y59" s="818"/>
      <c r="Z59" s="818"/>
      <c r="AA59" s="818"/>
      <c r="AB59" s="818"/>
      <c r="AC59" s="818"/>
      <c r="AD59" s="818"/>
      <c r="AE59" s="818"/>
      <c r="AF59" s="818"/>
      <c r="AG59" s="818"/>
      <c r="AH59" s="818"/>
      <c r="AI59" s="818"/>
      <c r="AJ59" s="819"/>
      <c r="AK59" s="396"/>
    </row>
    <row r="60" spans="1:46" ht="12" customHeight="1" x14ac:dyDescent="0.25">
      <c r="D60" s="154"/>
      <c r="E60" s="154"/>
      <c r="F60" s="832"/>
      <c r="G60" s="833"/>
      <c r="H60" s="833"/>
      <c r="I60" s="833"/>
      <c r="J60" s="833"/>
      <c r="K60" s="833"/>
      <c r="L60" s="833"/>
      <c r="M60" s="833"/>
      <c r="N60" s="833"/>
      <c r="O60" s="833"/>
      <c r="P60" s="833"/>
      <c r="Q60" s="833"/>
      <c r="R60" s="833"/>
      <c r="S60" s="833"/>
      <c r="T60" s="833"/>
      <c r="U60" s="833"/>
      <c r="V60" s="833"/>
      <c r="W60" s="833"/>
      <c r="X60" s="833"/>
      <c r="Y60" s="833"/>
      <c r="Z60" s="833"/>
      <c r="AA60" s="833"/>
      <c r="AB60" s="833"/>
      <c r="AC60" s="833"/>
      <c r="AD60" s="833"/>
      <c r="AE60" s="833"/>
      <c r="AF60" s="833"/>
      <c r="AG60" s="833"/>
      <c r="AH60" s="833"/>
      <c r="AI60" s="833"/>
      <c r="AJ60" s="834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J'ai contrôlé les comptes mensuels et vérifié leur exactitude.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09"/>
      <c r="G63" s="809"/>
      <c r="H63" s="809"/>
      <c r="I63" s="809"/>
      <c r="J63" s="809"/>
      <c r="K63" s="809"/>
      <c r="L63" s="809"/>
      <c r="M63" s="809"/>
      <c r="V63" s="809"/>
      <c r="W63" s="809"/>
      <c r="X63" s="809"/>
      <c r="Y63" s="809"/>
      <c r="Z63" s="809"/>
      <c r="AA63" s="809"/>
      <c r="AB63" s="809"/>
      <c r="AC63" s="809"/>
      <c r="AH63" s="809"/>
      <c r="AI63" s="809"/>
      <c r="AJ63" s="809"/>
    </row>
    <row r="64" spans="1:46" ht="15.75" x14ac:dyDescent="0.25">
      <c r="D64" s="156" t="str">
        <f>H_Label!B306</f>
        <v>visa employé</v>
      </c>
      <c r="E64" s="156"/>
      <c r="F64" s="810"/>
      <c r="G64" s="810"/>
      <c r="H64" s="810"/>
      <c r="I64" s="810"/>
      <c r="J64" s="810"/>
      <c r="K64" s="810"/>
      <c r="L64" s="810"/>
      <c r="M64" s="810"/>
      <c r="N64" s="156"/>
      <c r="O64" s="148"/>
      <c r="P64" s="156" t="str">
        <f>H_Label!B307</f>
        <v>visa supérieur hiérarchique</v>
      </c>
      <c r="Q64" s="148"/>
      <c r="R64" s="15"/>
      <c r="S64" s="156"/>
      <c r="T64" s="156"/>
      <c r="U64" s="156"/>
      <c r="V64" s="810"/>
      <c r="W64" s="810"/>
      <c r="X64" s="810"/>
      <c r="Y64" s="810"/>
      <c r="Z64" s="810"/>
      <c r="AA64" s="810"/>
      <c r="AB64" s="810"/>
      <c r="AC64" s="810"/>
      <c r="AD64" s="148"/>
      <c r="AE64" s="15"/>
      <c r="AF64" s="156" t="str">
        <f>H_Label!B308</f>
        <v>date</v>
      </c>
      <c r="AG64" s="15"/>
      <c r="AH64" s="810"/>
      <c r="AI64" s="810"/>
      <c r="AJ64" s="810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dbpvCTCrKoZCinysw+uWHQnuP0cCDqQJ6QxgMDb/Iu8oux/CdltYngy8PV/BURC8lqWkXGCzGQymHfZ94YnkOg==" saltValue="VSDCD1t3vFEOAZW13j6OAA==" spinCount="100000" sheet="1" objects="1" scenarios="1"/>
  <mergeCells count="23">
    <mergeCell ref="F63:M64"/>
    <mergeCell ref="V63:AC64"/>
    <mergeCell ref="AH63:AJ64"/>
    <mergeCell ref="K56:M56"/>
    <mergeCell ref="W56:Y56"/>
    <mergeCell ref="AH56:AJ56"/>
    <mergeCell ref="F58:AJ58"/>
    <mergeCell ref="F59:AJ59"/>
    <mergeCell ref="F60:AJ60"/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</mergeCells>
  <conditionalFormatting sqref="D37:AJ37">
    <cfRule type="expression" dxfId="98" priority="14">
      <formula>AND(M_Monat&gt;4,M_Monat&lt;10)</formula>
    </cfRule>
    <cfRule type="expression" dxfId="97" priority="15">
      <formula>M_Monat&gt;=10</formula>
    </cfRule>
  </conditionalFormatting>
  <conditionalFormatting sqref="E15:AK15">
    <cfRule type="expression" dxfId="96" priority="9">
      <formula>E$15=2</formula>
    </cfRule>
  </conditionalFormatting>
  <conditionalFormatting sqref="F17:AJ17">
    <cfRule type="expression" dxfId="95" priority="12">
      <formula>OR(AND(DAY(F$16)&lt;&gt;1,WEEKDAY(F$16,2)&lt;&gt;1),F$14=0)</formula>
    </cfRule>
    <cfRule type="expression" dxfId="94" priority="13">
      <formula>OR(F$15=2,AND(F$14=1,WEEKDAY(F$16,2)=7))</formula>
    </cfRule>
  </conditionalFormatting>
  <conditionalFormatting sqref="F18:AJ21 F23:AJ28 F31:AJ31 F33:AJ34 F36:AJ51 F53:AJ54">
    <cfRule type="expression" dxfId="93" priority="17">
      <formula>F$21="ft"</formula>
    </cfRule>
  </conditionalFormatting>
  <conditionalFormatting sqref="F18:AJ21 F23:AJ29 F31:AJ34 F36:AJ51 F53:AJ54">
    <cfRule type="expression" dxfId="92" priority="8">
      <formula>AND(F$14=0,$B18=0)</formula>
    </cfRule>
  </conditionalFormatting>
  <conditionalFormatting sqref="F28:AJ29 F32:AJ32">
    <cfRule type="expression" dxfId="91" priority="10">
      <formula>OR(WEEKDAY(F$16,2)=7,F$15=2)</formula>
    </cfRule>
  </conditionalFormatting>
  <conditionalFormatting sqref="F36:AJ51 F53:AJ54 F18:AJ21 F23:AJ28 F31:AJ31 F33:AJ34">
    <cfRule type="expression" dxfId="90" priority="16">
      <formula>WEEKDAY(F$18,2)=7</formula>
    </cfRule>
    <cfRule type="expression" dxfId="89" priority="18">
      <formula>WEEKDAY(F$18,2)=6</formula>
    </cfRule>
  </conditionalFormatting>
  <conditionalFormatting sqref="F53:AJ54">
    <cfRule type="containsText" dxfId="88" priority="11" operator="containsText" text="x">
      <formula>NOT(ISERROR(SEARCH("x",F53)))</formula>
    </cfRule>
  </conditionalFormatting>
  <conditionalFormatting sqref="J3:L3">
    <cfRule type="expression" dxfId="87" priority="1">
      <formula>B_fldSaldoVJ=0</formula>
    </cfRule>
  </conditionalFormatting>
  <conditionalFormatting sqref="AB3:AD3">
    <cfRule type="expression" dxfId="84" priority="2">
      <formula>H_fldFerienEndSaldo&lt;0</formula>
    </cfRule>
  </conditionalFormatting>
  <conditionalFormatting sqref="AG18:AJ21 AG23:AJ29 AG31:AJ34 AG36:AJ51 AG53:AJ54">
    <cfRule type="expression" dxfId="83" priority="6">
      <formula>AND(AG$14=0,$B18&lt;&gt;0)</formula>
    </cfRule>
    <cfRule type="expression" dxfId="82" priority="7">
      <formula>AG$15=2</formula>
    </cfRule>
  </conditionalFormatting>
  <conditionalFormatting sqref="AJ17:AJ21 AJ23:AJ29 AJ31:AJ34 AJ36:AJ51 AJ53:AJ54">
    <cfRule type="expression" dxfId="81" priority="5">
      <formula>AK$15="m"</formula>
    </cfRule>
  </conditionalFormatting>
  <dataValidations count="11"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0AAB5BD8-6CA8-46B1-A423-ED966ED18F96}">
      <formula1>-4000</formula1>
      <formula2>24</formula2>
    </dataValidation>
    <dataValidation type="custom" operator="greaterThanOrEqual" showErrorMessage="1" errorTitle="Karenztag" error="Zuerst Stunden im Feld &quot;Krankheit&quot; erfassen!" sqref="F53:AJ53" xr:uid="{4336980F-770B-43A4-A367-A2678AAD3650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5F0872A1-7B8C-496C-A908-0A0CCFD708A2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C92B98FF-F92C-43DE-9B26-0C5FEDD31B3F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800B4ACE-98A2-407F-8EB0-97DD8FD7ACE1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EBDDECA5-E857-44A7-BA9E-1DF5A7C1CAAF}"/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6852553C-A00B-4D12-A1AB-03DB89A97214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2CF70818-E096-4609-B419-62BA4D72AB4A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27B679AA-3AA9-4044-AB52-DA8FA5EE1696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682065FC-3035-4C10-A268-8F5A716F9191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9:AK50" xr:uid="{E4BD3723-6C9C-4B98-8595-BF0F4DBC0C0D}">
      <formula1>-4000</formula1>
    </dataValidation>
  </dataValidations>
  <hyperlinks>
    <hyperlink ref="AJ12" location="Jahresauswertung!H3" display="." xr:uid="{21D815E3-3400-4E27-9162-FA49F53C84D7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4320CB1-D159-47DE-85CE-E973F2896C42}">
            <xm:f>'report annuel'!$X$34=0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46A09CBB-E487-44B9-A2E0-17F55951749A}">
            <xm:f>'report annuel'!$X$34&lt;0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B3248-44B2-42C3-8F90-75146040B379}">
  <sheetPr codeName="ts09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"/>
      <selection pane="bottomLeft" activeCell="R27" sqref="R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13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13"/>
      <c r="F3" s="550" t="str">
        <f>H_Label!B32</f>
        <v>heures année passée</v>
      </c>
      <c r="G3" s="551"/>
      <c r="H3" s="551"/>
      <c r="I3" s="551"/>
      <c r="J3" s="812" t="str">
        <f>TEXT('report annuel'!$X$34,"0.00")&amp;" / "&amp;TEXT(B_fldSaldoVJ,"0.00")</f>
        <v>0.00 / 0.00</v>
      </c>
      <c r="K3" s="812"/>
      <c r="L3" s="812"/>
      <c r="M3" s="552"/>
      <c r="N3" s="552"/>
      <c r="O3" s="550" t="str">
        <f>H_Label!B33</f>
        <v>heures année en cours</v>
      </c>
      <c r="P3" s="551"/>
      <c r="Q3" s="551"/>
      <c r="R3" s="551"/>
      <c r="S3" s="551"/>
      <c r="T3" s="831">
        <f>'report annuel'!$AD$43</f>
        <v>-2016</v>
      </c>
      <c r="U3" s="831"/>
      <c r="V3" s="831"/>
      <c r="W3" s="552"/>
      <c r="X3" s="552"/>
      <c r="Y3" s="550" t="str">
        <f>H_Label!B34</f>
        <v>se des vacences</v>
      </c>
      <c r="Z3" s="551"/>
      <c r="AA3" s="551"/>
      <c r="AB3" s="812" t="str">
        <f ca="1">TEXT(H_fldFerienEndSaldo,"0.00")&amp;" / "&amp;TEXT(H_fldFerienSaldoKORR,"0.00")</f>
        <v>176.00 / 176.00</v>
      </c>
      <c r="AC3" s="812"/>
      <c r="AD3" s="812"/>
      <c r="AF3" s="148"/>
      <c r="AG3" s="148"/>
      <c r="AH3" s="148"/>
      <c r="AI3" s="148"/>
      <c r="AJ3" s="148"/>
    </row>
    <row r="4" spans="1:46" ht="13.5" customHeight="1" x14ac:dyDescent="0.25">
      <c r="D4" s="813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taux d'occupation réel</v>
      </c>
      <c r="AH5" s="527"/>
      <c r="AI5" s="830">
        <f>AN54</f>
        <v>1</v>
      </c>
      <c r="AJ5" s="830"/>
      <c r="AK5" s="388"/>
    </row>
    <row r="6" spans="1:46" ht="27.95" customHeight="1" x14ac:dyDescent="0.25">
      <c r="D6" s="174" t="str">
        <f>H_Label!$B$221 &amp;" "&amp;TEXT('fiche du personnel'!$U$1,"JJJJ")</f>
        <v>Contrôle des heures de travail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28" t="str">
        <f>'fiche du personnel'!$G$3</f>
        <v>Peinture Exemple SA</v>
      </c>
      <c r="Z6" s="828"/>
      <c r="AA6" s="828"/>
      <c r="AB6" s="828"/>
      <c r="AC6" s="828"/>
      <c r="AD6" s="828"/>
      <c r="AE6" s="828"/>
      <c r="AF6" s="828"/>
      <c r="AG6" s="828"/>
      <c r="AH6" s="828"/>
      <c r="AI6" s="828"/>
      <c r="AJ6" s="829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employé</v>
      </c>
      <c r="E8" s="31"/>
      <c r="F8" s="820" t="str">
        <f>'fiche du personnel'!$G$6</f>
        <v>Martin Dupont</v>
      </c>
      <c r="G8" s="821"/>
      <c r="H8" s="821"/>
      <c r="I8" s="821"/>
      <c r="J8" s="821"/>
      <c r="K8" s="822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occupation (%)</v>
      </c>
      <c r="E9" s="374"/>
      <c r="F9" s="823" cm="1">
        <f t="array" ref="F9">SUMPRODUCT((H_tblBGMnt=M_Monat)*H_tblBGavg)</f>
        <v>100</v>
      </c>
      <c r="G9" s="824"/>
      <c r="H9" s="825" t="str">
        <f>H_Label!B224&amp;" "&amp;D12</f>
        <v>en septembre</v>
      </c>
      <c r="I9" s="826"/>
      <c r="J9" s="826"/>
      <c r="K9" s="827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se pour l'année</v>
      </c>
      <c r="E10" s="89"/>
      <c r="F10" s="838">
        <f>DATE(A_Jahr,AM13,1)</f>
        <v>46266</v>
      </c>
      <c r="G10" s="839"/>
      <c r="H10" s="840">
        <f>'report annuel'!AF42</f>
        <v>-2016</v>
      </c>
      <c r="I10" s="841"/>
      <c r="J10" s="841"/>
      <c r="K10" s="842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11" t="s">
        <v>501</v>
      </c>
      <c r="D12" s="494" t="str">
        <f>TEXT($F$10,"MMMM"&amp;H_Label!$B$23)</f>
        <v>septembre</v>
      </c>
      <c r="E12" s="375"/>
      <c r="F12" s="843" t="str">
        <f>H_Label!B231</f>
        <v>se mois + / -</v>
      </c>
      <c r="G12" s="844"/>
      <c r="H12" s="844"/>
      <c r="I12" s="845"/>
      <c r="J12" s="846" cm="1">
        <f t="array" ref="J12">INDEX(H_dMNTCurrentSaldo,1,M_Monat)</f>
        <v>-176</v>
      </c>
      <c r="K12" s="847"/>
      <c r="L12" s="157"/>
      <c r="M12" s="158"/>
      <c r="N12" s="202"/>
      <c r="O12" s="159" t="str">
        <f>H_Label!B240</f>
        <v xml:space="preserve"> = </v>
      </c>
      <c r="P12" s="151" t="str">
        <f>H_Label!B241</f>
        <v>seules les cases/champs jaunes sont saisissables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11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9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11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1</v>
      </c>
      <c r="AI14" s="410">
        <f t="shared" si="0"/>
        <v>1</v>
      </c>
      <c r="AJ14" s="411">
        <f t="shared" si="0"/>
        <v>0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11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3</v>
      </c>
      <c r="AH15" s="418">
        <f t="shared" si="1"/>
        <v>3</v>
      </c>
      <c r="AI15" s="418">
        <f t="shared" si="1"/>
        <v>2</v>
      </c>
      <c r="AJ15" s="419">
        <f t="shared" si="1"/>
        <v>1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46266</v>
      </c>
      <c r="G16" s="422">
        <f>F$16+1</f>
        <v>46267</v>
      </c>
      <c r="H16" s="422">
        <f t="shared" ref="H16:AJ16" si="2">G$16+1</f>
        <v>46268</v>
      </c>
      <c r="I16" s="422">
        <f t="shared" si="2"/>
        <v>46269</v>
      </c>
      <c r="J16" s="422">
        <f t="shared" si="2"/>
        <v>46270</v>
      </c>
      <c r="K16" s="422">
        <f t="shared" si="2"/>
        <v>46271</v>
      </c>
      <c r="L16" s="423">
        <f t="shared" si="2"/>
        <v>46272</v>
      </c>
      <c r="M16" s="423">
        <f t="shared" si="2"/>
        <v>46273</v>
      </c>
      <c r="N16" s="424">
        <f t="shared" si="2"/>
        <v>46274</v>
      </c>
      <c r="O16" s="425">
        <f t="shared" si="2"/>
        <v>46275</v>
      </c>
      <c r="P16" s="425">
        <f t="shared" si="2"/>
        <v>46276</v>
      </c>
      <c r="Q16" s="425">
        <f t="shared" si="2"/>
        <v>46277</v>
      </c>
      <c r="R16" s="425">
        <f t="shared" si="2"/>
        <v>46278</v>
      </c>
      <c r="S16" s="425">
        <f t="shared" si="2"/>
        <v>46279</v>
      </c>
      <c r="T16" s="425">
        <f t="shared" si="2"/>
        <v>46280</v>
      </c>
      <c r="U16" s="425">
        <f t="shared" si="2"/>
        <v>46281</v>
      </c>
      <c r="V16" s="425">
        <f t="shared" si="2"/>
        <v>46282</v>
      </c>
      <c r="W16" s="425">
        <f t="shared" si="2"/>
        <v>46283</v>
      </c>
      <c r="X16" s="425">
        <f t="shared" si="2"/>
        <v>46284</v>
      </c>
      <c r="Y16" s="425">
        <f t="shared" si="2"/>
        <v>46285</v>
      </c>
      <c r="Z16" s="425">
        <f t="shared" si="2"/>
        <v>46286</v>
      </c>
      <c r="AA16" s="425">
        <f t="shared" si="2"/>
        <v>46287</v>
      </c>
      <c r="AB16" s="425">
        <f t="shared" si="2"/>
        <v>46288</v>
      </c>
      <c r="AC16" s="425">
        <f t="shared" si="2"/>
        <v>46289</v>
      </c>
      <c r="AD16" s="425">
        <f t="shared" si="2"/>
        <v>46290</v>
      </c>
      <c r="AE16" s="425">
        <f t="shared" si="2"/>
        <v>46291</v>
      </c>
      <c r="AF16" s="426">
        <f t="shared" si="2"/>
        <v>46292</v>
      </c>
      <c r="AG16" s="426">
        <f t="shared" si="2"/>
        <v>46293</v>
      </c>
      <c r="AH16" s="426">
        <f t="shared" si="2"/>
        <v>46294</v>
      </c>
      <c r="AI16" s="426">
        <f t="shared" si="2"/>
        <v>46295</v>
      </c>
      <c r="AJ16" s="427">
        <f t="shared" si="2"/>
        <v>46296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semaine civile</v>
      </c>
      <c r="E17" s="291"/>
      <c r="F17" s="205">
        <f>WEEKNUM(F$16,21)</f>
        <v>36</v>
      </c>
      <c r="G17" s="203">
        <f t="shared" ref="G17:AJ17" si="3">WEEKNUM(G$16,21)</f>
        <v>36</v>
      </c>
      <c r="H17" s="203">
        <f t="shared" si="3"/>
        <v>36</v>
      </c>
      <c r="I17" s="203">
        <f t="shared" si="3"/>
        <v>36</v>
      </c>
      <c r="J17" s="203">
        <f t="shared" si="3"/>
        <v>36</v>
      </c>
      <c r="K17" s="203">
        <f t="shared" si="3"/>
        <v>36</v>
      </c>
      <c r="L17" s="203">
        <f t="shared" si="3"/>
        <v>37</v>
      </c>
      <c r="M17" s="203">
        <f t="shared" si="3"/>
        <v>37</v>
      </c>
      <c r="N17" s="203">
        <f t="shared" si="3"/>
        <v>37</v>
      </c>
      <c r="O17" s="203">
        <f t="shared" si="3"/>
        <v>37</v>
      </c>
      <c r="P17" s="203">
        <f t="shared" si="3"/>
        <v>37</v>
      </c>
      <c r="Q17" s="203">
        <f t="shared" si="3"/>
        <v>37</v>
      </c>
      <c r="R17" s="203">
        <f t="shared" si="3"/>
        <v>37</v>
      </c>
      <c r="S17" s="203">
        <f t="shared" si="3"/>
        <v>38</v>
      </c>
      <c r="T17" s="203">
        <f t="shared" si="3"/>
        <v>38</v>
      </c>
      <c r="U17" s="203">
        <f t="shared" si="3"/>
        <v>38</v>
      </c>
      <c r="V17" s="203">
        <f t="shared" si="3"/>
        <v>38</v>
      </c>
      <c r="W17" s="203">
        <f t="shared" si="3"/>
        <v>38</v>
      </c>
      <c r="X17" s="203">
        <f t="shared" si="3"/>
        <v>38</v>
      </c>
      <c r="Y17" s="203">
        <f t="shared" si="3"/>
        <v>38</v>
      </c>
      <c r="Z17" s="203">
        <f t="shared" si="3"/>
        <v>39</v>
      </c>
      <c r="AA17" s="203">
        <f t="shared" si="3"/>
        <v>39</v>
      </c>
      <c r="AB17" s="203">
        <f t="shared" si="3"/>
        <v>39</v>
      </c>
      <c r="AC17" s="203">
        <f t="shared" si="3"/>
        <v>39</v>
      </c>
      <c r="AD17" s="203">
        <f t="shared" si="3"/>
        <v>39</v>
      </c>
      <c r="AE17" s="203">
        <f t="shared" si="3"/>
        <v>39</v>
      </c>
      <c r="AF17" s="203">
        <f t="shared" si="3"/>
        <v>39</v>
      </c>
      <c r="AG17" s="203">
        <f t="shared" si="3"/>
        <v>40</v>
      </c>
      <c r="AH17" s="203">
        <f t="shared" si="3"/>
        <v>40</v>
      </c>
      <c r="AI17" s="203">
        <f t="shared" si="3"/>
        <v>40</v>
      </c>
      <c r="AJ17" s="204">
        <f t="shared" si="3"/>
        <v>40</v>
      </c>
      <c r="AK17" s="398"/>
      <c r="AL17" s="114" cm="1">
        <f t="array" ref="AL17">SUM(IF(FREQUENCY(F17:AJ17,F17:AJ17)&gt;0,1))</f>
        <v>5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46266</v>
      </c>
      <c r="G18" s="28">
        <f t="shared" ref="G18:AJ18" si="4">IF(G14,G16,0)</f>
        <v>46267</v>
      </c>
      <c r="H18" s="27">
        <f t="shared" si="4"/>
        <v>46268</v>
      </c>
      <c r="I18" s="27">
        <f t="shared" si="4"/>
        <v>46269</v>
      </c>
      <c r="J18" s="27">
        <f t="shared" si="4"/>
        <v>46270</v>
      </c>
      <c r="K18" s="27">
        <f t="shared" si="4"/>
        <v>46271</v>
      </c>
      <c r="L18" s="27">
        <f t="shared" si="4"/>
        <v>46272</v>
      </c>
      <c r="M18" s="27">
        <f t="shared" si="4"/>
        <v>46273</v>
      </c>
      <c r="N18" s="27">
        <f t="shared" si="4"/>
        <v>46274</v>
      </c>
      <c r="O18" s="27">
        <f t="shared" si="4"/>
        <v>46275</v>
      </c>
      <c r="P18" s="27">
        <f t="shared" si="4"/>
        <v>46276</v>
      </c>
      <c r="Q18" s="27">
        <f t="shared" si="4"/>
        <v>46277</v>
      </c>
      <c r="R18" s="27">
        <f t="shared" si="4"/>
        <v>46278</v>
      </c>
      <c r="S18" s="27">
        <f t="shared" si="4"/>
        <v>46279</v>
      </c>
      <c r="T18" s="27">
        <f t="shared" si="4"/>
        <v>46280</v>
      </c>
      <c r="U18" s="27">
        <f t="shared" si="4"/>
        <v>46281</v>
      </c>
      <c r="V18" s="27">
        <f t="shared" si="4"/>
        <v>46282</v>
      </c>
      <c r="W18" s="27">
        <f t="shared" si="4"/>
        <v>46283</v>
      </c>
      <c r="X18" s="27">
        <f t="shared" si="4"/>
        <v>46284</v>
      </c>
      <c r="Y18" s="27">
        <f t="shared" si="4"/>
        <v>46285</v>
      </c>
      <c r="Z18" s="27">
        <f t="shared" si="4"/>
        <v>46286</v>
      </c>
      <c r="AA18" s="27">
        <f t="shared" si="4"/>
        <v>46287</v>
      </c>
      <c r="AB18" s="27">
        <f t="shared" si="4"/>
        <v>46288</v>
      </c>
      <c r="AC18" s="27">
        <f t="shared" si="4"/>
        <v>46289</v>
      </c>
      <c r="AD18" s="27">
        <f t="shared" si="4"/>
        <v>46290</v>
      </c>
      <c r="AE18" s="27">
        <f t="shared" si="4"/>
        <v>46291</v>
      </c>
      <c r="AF18" s="27">
        <f t="shared" si="4"/>
        <v>46292</v>
      </c>
      <c r="AG18" s="27">
        <f t="shared" si="4"/>
        <v>46293</v>
      </c>
      <c r="AH18" s="27">
        <f t="shared" si="4"/>
        <v>46294</v>
      </c>
      <c r="AI18" s="198">
        <f t="shared" si="4"/>
        <v>46295</v>
      </c>
      <c r="AJ18" s="198">
        <f t="shared" si="4"/>
        <v>0</v>
      </c>
      <c r="AK18" s="399"/>
      <c r="AL18" s="115">
        <f>_xlfn.DAYS(EOMONTH($F$18,0),$F$18)+1</f>
        <v>30</v>
      </c>
      <c r="AM18" s="287">
        <f>AL19*A_fldSollTagStd</f>
        <v>176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mar.</v>
      </c>
      <c r="G19" s="92" t="str">
        <f>IF(G14=1,TEXT(G$18,H_Label!$B$24&amp;"TTT"),0)</f>
        <v>mer.</v>
      </c>
      <c r="H19" s="92" t="str">
        <f>IF(H14=1,TEXT(H$18,H_Label!$B$24&amp;"TTT"),0)</f>
        <v>jeu.</v>
      </c>
      <c r="I19" s="92" t="str">
        <f>IF(I14=1,TEXT(I$18,H_Label!$B$24&amp;"TTT"),0)</f>
        <v>ven.</v>
      </c>
      <c r="J19" s="92" t="str">
        <f>IF(J14=1,TEXT(J$18,H_Label!$B$24&amp;"TTT"),0)</f>
        <v>sam.</v>
      </c>
      <c r="K19" s="92" t="str">
        <f>IF(K14=1,TEXT(K$18,H_Label!$B$24&amp;"TTT"),0)</f>
        <v>dim.</v>
      </c>
      <c r="L19" s="92" t="str">
        <f>IF(L14=1,TEXT(L$18,H_Label!$B$24&amp;"TTT"),0)</f>
        <v>lun.</v>
      </c>
      <c r="M19" s="92" t="str">
        <f>IF(M14=1,TEXT(M$18,H_Label!$B$24&amp;"TTT"),0)</f>
        <v>mar.</v>
      </c>
      <c r="N19" s="92" t="str">
        <f>IF(N14=1,TEXT(N$18,H_Label!$B$24&amp;"TTT"),0)</f>
        <v>mer.</v>
      </c>
      <c r="O19" s="92" t="str">
        <f>IF(O14=1,TEXT(O$18,H_Label!$B$24&amp;"TTT"),0)</f>
        <v>jeu.</v>
      </c>
      <c r="P19" s="92" t="str">
        <f>IF(P14=1,TEXT(P$18,H_Label!$B$24&amp;"TTT"),0)</f>
        <v>ven.</v>
      </c>
      <c r="Q19" s="92" t="str">
        <f>IF(Q14=1,TEXT(Q$18,H_Label!$B$24&amp;"TTT"),0)</f>
        <v>sam.</v>
      </c>
      <c r="R19" s="92" t="str">
        <f>IF(R14=1,TEXT(R$18,H_Label!$B$24&amp;"TTT"),0)</f>
        <v>dim.</v>
      </c>
      <c r="S19" s="92" t="str">
        <f>IF(S14=1,TEXT(S$18,H_Label!$B$24&amp;"TTT"),0)</f>
        <v>lun.</v>
      </c>
      <c r="T19" s="92" t="str">
        <f>IF(T14=1,TEXT(T$18,H_Label!$B$24&amp;"TTT"),0)</f>
        <v>mar.</v>
      </c>
      <c r="U19" s="92" t="str">
        <f>IF(U14=1,TEXT(U$18,H_Label!$B$24&amp;"TTT"),0)</f>
        <v>mer.</v>
      </c>
      <c r="V19" s="92" t="str">
        <f>IF(V14=1,TEXT(V$18,H_Label!$B$24&amp;"TTT"),0)</f>
        <v>jeu.</v>
      </c>
      <c r="W19" s="92" t="str">
        <f>IF(W14=1,TEXT(W$18,H_Label!$B$24&amp;"TTT"),0)</f>
        <v>ven.</v>
      </c>
      <c r="X19" s="92" t="str">
        <f>IF(X14=1,TEXT(X$18,H_Label!$B$24&amp;"TTT"),0)</f>
        <v>sam.</v>
      </c>
      <c r="Y19" s="92" t="str">
        <f>IF(Y14=1,TEXT(Y$18,H_Label!$B$24&amp;"TTT"),0)</f>
        <v>dim.</v>
      </c>
      <c r="Z19" s="92" t="str">
        <f>IF(Z14=1,TEXT(Z$18,H_Label!$B$24&amp;"TTT"),0)</f>
        <v>lun.</v>
      </c>
      <c r="AA19" s="92" t="str">
        <f>IF(AA14=1,TEXT(AA$18,H_Label!$B$24&amp;"TTT"),0)</f>
        <v>mar.</v>
      </c>
      <c r="AB19" s="92" t="str">
        <f>IF(AB14=1,TEXT(AB$18,H_Label!$B$24&amp;"TTT"),0)</f>
        <v>mer.</v>
      </c>
      <c r="AC19" s="92" t="str">
        <f>IF(AC14=1,TEXT(AC$18,H_Label!$B$24&amp;"TTT"),0)</f>
        <v>jeu.</v>
      </c>
      <c r="AD19" s="92" t="str">
        <f>IF(AD14=1,TEXT(AD$18,H_Label!$B$24&amp;"TTT"),0)</f>
        <v>ven.</v>
      </c>
      <c r="AE19" s="92" t="str">
        <f>IF(AE14=1,TEXT(AE$18,H_Label!$B$24&amp;"TTT"),0)</f>
        <v>sam.</v>
      </c>
      <c r="AF19" s="92" t="str">
        <f>IF(AF14=1,TEXT(AF$18,H_Label!$B$24&amp;"TTT"),0)</f>
        <v>dim.</v>
      </c>
      <c r="AG19" s="92" t="str">
        <f>IF(AG14=1,TEXT(AG$18,H_Label!$B$24&amp;"TTT"),0)</f>
        <v>lun.</v>
      </c>
      <c r="AH19" s="92" t="str">
        <f>IF(AH14=1,TEXT(AH$18,H_Label!$B$24&amp;"TTT"),0)</f>
        <v>mar.</v>
      </c>
      <c r="AI19" s="92" t="str">
        <f>IF(AI14=1,TEXT(AI$18,H_Label!$B$24&amp;"TTT"),0)</f>
        <v>mer.</v>
      </c>
      <c r="AJ19" s="92">
        <f>IF(AJ14=1,TEXT(AJ$18,H_Label!$B$24&amp;"TTT"),0)</f>
        <v>0</v>
      </c>
      <c r="AK19" s="400"/>
      <c r="AL19" s="117">
        <f>NETWORKDAYS($F$18,EOMONTH($F$18,0))</f>
        <v>22</v>
      </c>
      <c r="AM19" s="288">
        <f>SUM(F20:AJ20)</f>
        <v>176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heures théorique</v>
      </c>
      <c r="E20" s="19"/>
      <c r="F20" s="26" cm="1">
        <f t="array" ref="F20">IF(OR(F14=0,F54="x"),0,A_fldSollTagStd*SUMPRODUCT((H_tblBGTage=WEEKDAY(F16,2))*(H_tblBGMnt=M_Monat)*H_tblBG%))</f>
        <v>8</v>
      </c>
      <c r="G20" s="26" cm="1">
        <f t="array" ref="G20">IF(OR(G14=0,G54="x"),0,A_fldSollTagStd*SUMPRODUCT((H_tblBGTage=WEEKDAY(G16,2))*(H_tblBGMnt=M_Monat)*H_tblBG%))</f>
        <v>8</v>
      </c>
      <c r="H20" s="26" cm="1">
        <f t="array" ref="H20">IF(OR(H14=0,H54="x"),0,A_fldSollTagStd*SUMPRODUCT((H_tblBGTage=WEEKDAY(H16,2))*(H_tblBGMnt=M_Monat)*H_tblBG%))</f>
        <v>8</v>
      </c>
      <c r="I20" s="26" cm="1">
        <f t="array" ref="I20">IF(OR(I14=0,I54="x"),0,A_fldSollTagStd*SUMPRODUCT((H_tblBGTage=WEEKDAY(I16,2))*(H_tblBGMnt=M_Monat)*H_tblBG%))</f>
        <v>8</v>
      </c>
      <c r="J20" s="26" cm="1">
        <f t="array" ref="J20">IF(OR(J14=0,J54="x"),0,A_fldSollTagStd*SUMPRODUCT((H_tblBGTage=WEEKDAY(J16,2))*(H_tblBGMnt=M_Monat)*H_tblBG%))</f>
        <v>0</v>
      </c>
      <c r="K20" s="26" cm="1">
        <f t="array" ref="K20">IF(OR(K14=0,K54="x"),0,A_fldSollTagStd*SUMPRODUCT((H_tblBGTage=WEEKDAY(K16,2))*(H_tblBGMnt=M_Monat)*H_tblBG%))</f>
        <v>0</v>
      </c>
      <c r="L20" s="26" cm="1">
        <f t="array" ref="L20">IF(OR(L14=0,L54="x"),0,A_fldSollTagStd*SUMPRODUCT((H_tblBGTage=WEEKDAY(L16,2))*(H_tblBGMnt=M_Monat)*H_tblBG%))</f>
        <v>8</v>
      </c>
      <c r="M20" s="26" cm="1">
        <f t="array" ref="M20">IF(OR(M14=0,M54="x"),0,A_fldSollTagStd*SUMPRODUCT((H_tblBGTage=WEEKDAY(M16,2))*(H_tblBGMnt=M_Monat)*H_tblBG%))</f>
        <v>8</v>
      </c>
      <c r="N20" s="26" cm="1">
        <f t="array" ref="N20">IF(OR(N14=0,N54="x"),0,A_fldSollTagStd*SUMPRODUCT((H_tblBGTage=WEEKDAY(N16,2))*(H_tblBGMnt=M_Monat)*H_tblBG%))</f>
        <v>8</v>
      </c>
      <c r="O20" s="26" cm="1">
        <f t="array" ref="O20">IF(OR(O14=0,O54="x"),0,A_fldSollTagStd*SUMPRODUCT((H_tblBGTage=WEEKDAY(O16,2))*(H_tblBGMnt=M_Monat)*H_tblBG%))</f>
        <v>8</v>
      </c>
      <c r="P20" s="26" cm="1">
        <f t="array" ref="P20">IF(OR(P14=0,P54="x"),0,A_fldSollTagStd*SUMPRODUCT((H_tblBGTage=WEEKDAY(P16,2))*(H_tblBGMnt=M_Monat)*H_tblBG%))</f>
        <v>8</v>
      </c>
      <c r="Q20" s="26" cm="1">
        <f t="array" ref="Q20">IF(OR(Q14=0,Q54="x"),0,A_fldSollTagStd*SUMPRODUCT((H_tblBGTage=WEEKDAY(Q16,2))*(H_tblBGMnt=M_Monat)*H_tblBG%))</f>
        <v>0</v>
      </c>
      <c r="R20" s="26" cm="1">
        <f t="array" ref="R20">IF(OR(R14=0,R54="x"),0,A_fldSollTagStd*SUMPRODUCT((H_tblBGTage=WEEKDAY(R16,2))*(H_tblBGMnt=M_Monat)*H_tblBG%))</f>
        <v>0</v>
      </c>
      <c r="S20" s="26" cm="1">
        <f t="array" ref="S20">IF(OR(S14=0,S54="x"),0,A_fldSollTagStd*SUMPRODUCT((H_tblBGTage=WEEKDAY(S16,2))*(H_tblBGMnt=M_Monat)*H_tblBG%))</f>
        <v>8</v>
      </c>
      <c r="T20" s="26" cm="1">
        <f t="array" ref="T20">IF(OR(T14=0,T54="x"),0,A_fldSollTagStd*SUMPRODUCT((H_tblBGTage=WEEKDAY(T16,2))*(H_tblBGMnt=M_Monat)*H_tblBG%))</f>
        <v>8</v>
      </c>
      <c r="U20" s="26" cm="1">
        <f t="array" ref="U20">IF(OR(U14=0,U54="x"),0,A_fldSollTagStd*SUMPRODUCT((H_tblBGTage=WEEKDAY(U16,2))*(H_tblBGMnt=M_Monat)*H_tblBG%))</f>
        <v>8</v>
      </c>
      <c r="V20" s="26" cm="1">
        <f t="array" ref="V20">IF(OR(V14=0,V54="x"),0,A_fldSollTagStd*SUMPRODUCT((H_tblBGTage=WEEKDAY(V16,2))*(H_tblBGMnt=M_Monat)*H_tblBG%))</f>
        <v>8</v>
      </c>
      <c r="W20" s="26" cm="1">
        <f t="array" ref="W20">IF(OR(W14=0,W54="x"),0,A_fldSollTagStd*SUMPRODUCT((H_tblBGTage=WEEKDAY(W16,2))*(H_tblBGMnt=M_Monat)*H_tblBG%))</f>
        <v>8</v>
      </c>
      <c r="X20" s="26" cm="1">
        <f t="array" ref="X20">IF(OR(X14=0,X54="x"),0,A_fldSollTagStd*SUMPRODUCT((H_tblBGTage=WEEKDAY(X16,2))*(H_tblBGMnt=M_Monat)*H_tblBG%))</f>
        <v>0</v>
      </c>
      <c r="Y20" s="26" cm="1">
        <f t="array" ref="Y20">IF(OR(Y14=0,Y54="x"),0,A_fldSollTagStd*SUMPRODUCT((H_tblBGTage=WEEKDAY(Y16,2))*(H_tblBGMnt=M_Monat)*H_tblBG%))</f>
        <v>0</v>
      </c>
      <c r="Z20" s="26" cm="1">
        <f t="array" ref="Z20">IF(OR(Z14=0,Z54="x"),0,A_fldSollTagStd*SUMPRODUCT((H_tblBGTage=WEEKDAY(Z16,2))*(H_tblBGMnt=M_Monat)*H_tblBG%))</f>
        <v>8</v>
      </c>
      <c r="AA20" s="26" cm="1">
        <f t="array" ref="AA20">IF(OR(AA14=0,AA54="x"),0,A_fldSollTagStd*SUMPRODUCT((H_tblBGTage=WEEKDAY(AA16,2))*(H_tblBGMnt=M_Monat)*H_tblBG%))</f>
        <v>8</v>
      </c>
      <c r="AB20" s="26" cm="1">
        <f t="array" ref="AB20">IF(OR(AB14=0,AB54="x"),0,A_fldSollTagStd*SUMPRODUCT((H_tblBGTage=WEEKDAY(AB16,2))*(H_tblBGMnt=M_Monat)*H_tblBG%))</f>
        <v>8</v>
      </c>
      <c r="AC20" s="26" cm="1">
        <f t="array" ref="AC20">IF(OR(AC14=0,AC54="x"),0,A_fldSollTagStd*SUMPRODUCT((H_tblBGTage=WEEKDAY(AC16,2))*(H_tblBGMnt=M_Monat)*H_tblBG%))</f>
        <v>8</v>
      </c>
      <c r="AD20" s="26" cm="1">
        <f t="array" ref="AD20">IF(OR(AD14=0,AD54="x"),0,A_fldSollTagStd*SUMPRODUCT((H_tblBGTage=WEEKDAY(AD16,2))*(H_tblBGMnt=M_Monat)*H_tblBG%))</f>
        <v>8</v>
      </c>
      <c r="AE20" s="26" cm="1">
        <f t="array" ref="AE20">IF(OR(AE14=0,AE54="x"),0,A_fldSollTagStd*SUMPRODUCT((H_tblBGTage=WEEKDAY(AE16,2))*(H_tblBGMnt=M_Monat)*H_tblBG%))</f>
        <v>0</v>
      </c>
      <c r="AF20" s="26" cm="1">
        <f t="array" ref="AF20">IF(OR(AF14=0,AF54="x"),0,A_fldSollTagStd*SUMPRODUCT((H_tblBGTage=WEEKDAY(AF16,2))*(H_tblBGMnt=M_Monat)*H_tblBG%))</f>
        <v>0</v>
      </c>
      <c r="AG20" s="26" cm="1">
        <f t="array" ref="AG20">IF(OR(AG14=0,AG54="x"),0,A_fldSollTagStd*SUMPRODUCT((H_tblBGTage=WEEKDAY(AG16,2))*(H_tblBGMnt=M_Monat)*H_tblBG%))</f>
        <v>8</v>
      </c>
      <c r="AH20" s="26" cm="1">
        <f t="array" ref="AH20">IF(OR(AH14=0,AH54="x"),0,A_fldSollTagStd*SUMPRODUCT((H_tblBGTage=WEEKDAY(AH16,2))*(H_tblBGMnt=M_Monat)*H_tblBG%))</f>
        <v>8</v>
      </c>
      <c r="AI20" s="199" cm="1">
        <f t="array" ref="AI20">IF(OR(AI14=0,AI54="x"),0,A_fldSollTagStd*SUMPRODUCT((H_tblBGTage=WEEKDAY(AI16,2))*(H_tblBGMnt=M_Monat)*H_tblBG%))</f>
        <v>8</v>
      </c>
      <c r="AJ20" s="199" cm="1">
        <f t="array" ref="AJ20">IF(OR(AJ14=0,AJ54="x"),0,A_fldSollTagStd*SUMPRODUCT((H_tblBGTage=WEEKDAY(AJ16,2))*(H_tblBGMnt=M_Monat)*H_tblBG%))</f>
        <v>0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jours fériés</v>
      </c>
      <c r="E21" s="20"/>
      <c r="F21" s="195" t="str" cm="1">
        <f t="array" ref="F21">INDEX(H_Calendar!$K$10:$K$375,MATCH(1,INDEX((H_Calendar!$E$10:$E$375=M_Monat)*(H_Calendar!$H$10:$H$375=DAY(F$18)),0,1),0))</f>
        <v/>
      </c>
      <c r="G21" s="195" t="str" cm="1">
        <f t="array" ref="G21">INDEX(H_Calendar!$K$10:$K$375,MATCH(1,INDEX((H_Calendar!$E$10:$E$375=M_Monat)*(H_Calendar!$H$10:$H$375=DAY(G$18)),0,1),0))</f>
        <v/>
      </c>
      <c r="H21" s="195" t="str" cm="1">
        <f t="array" ref="H21">INDEX(H_Calendar!$K$10:$K$375,MATCH(1,INDEX((H_Calendar!$E$10:$E$375=M_Monat)*(H_Calendar!$H$10:$H$375=DAY(H$18)),0,1),0))</f>
        <v/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/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/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/>
      </c>
      <c r="AD21" s="195" t="str" cm="1">
        <f t="array" ref="AD21">INDEX(H_Calendar!$K$10:$K$375,MATCH(1,INDEX((H_Calendar!$E$10:$E$375=M_Monat)*(H_Calendar!$H$10:$H$375=DAY(AD$18)),0,1),0))</f>
        <v/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0</v>
      </c>
      <c r="AM21" s="320">
        <f>COUNTIF(F21:AJ21,"ft")</f>
        <v>0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heures productives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x14ac:dyDescent="0.2">
      <c r="A25" s="252"/>
      <c r="B25" s="438"/>
      <c r="C25" s="252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customHeight="1" x14ac:dyDescent="0.2">
      <c r="A26" s="252"/>
      <c r="B26" s="438"/>
      <c r="C26" s="252">
        <v>4</v>
      </c>
      <c r="D26" s="606" t="str">
        <f>H_Label!B313</f>
        <v>temps de trajet (total)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déduction de temps de trajet = 0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total journalier y c. temp de trajet payé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total hebdomadaire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9" s="143" t="str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oct.</v>
      </c>
      <c r="AJ29" s="144" t="str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/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crédits et majorations</v>
      </c>
      <c r="E30" s="87"/>
      <c r="F30" s="145" t="str">
        <f>H_Label!B264</f>
        <v>1)  25% majoration temporelle pour depassement les heures maximales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majoration temporelle pour travail de nuit</v>
      </c>
      <c r="Q30" s="145"/>
      <c r="R30" s="145"/>
      <c r="S30" s="145"/>
      <c r="T30" s="145"/>
      <c r="U30" s="145"/>
      <c r="V30" s="145"/>
      <c r="W30" s="145" t="str">
        <f>H_Label!B266</f>
        <v>3) 100% majoration temporelle pour travail du dimanche et jour férié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Majoration  "jf"</v>
      </c>
      <c r="E31" s="23"/>
      <c r="F31" s="24">
        <f t="shared" ref="F31:AG31" si="8">IF(F21="ft",F20,0)</f>
        <v>0</v>
      </c>
      <c r="G31" s="24">
        <f t="shared" si="8"/>
        <v>0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0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0</v>
      </c>
      <c r="AD31" s="24">
        <f t="shared" si="8"/>
        <v>0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0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Majorations temp.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>oct.</v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/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Majorations temp.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Majorations temp.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>
        <f>H_Label!B273</f>
        <v>0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vacances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compensation année passée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42" si="11">SUM(F37:AJ37)</f>
        <v>0</v>
      </c>
      <c r="AM37" s="292">
        <f t="shared" ref="AM37:AM42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compensation année en cours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absences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maladie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accident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absences de grossesse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Congé de maternité/paternité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militaire/promotion/protection civile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ref="AL44:AL50" si="13">SUM(F44:AJ44)</f>
        <v>0</v>
      </c>
      <c r="AM44" s="292">
        <f t="shared" ref="AM44:AM50" si="14">COUNT(F44:AJ44)</f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école professionelle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3"/>
        <v>0</v>
      </c>
      <c r="AM45" s="292">
        <f t="shared" si="14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cours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3"/>
        <v>0</v>
      </c>
      <c r="AM46" s="292">
        <f t="shared" si="14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chômage partiel et intempéries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3"/>
        <v>0</v>
      </c>
      <c r="AM47" s="292">
        <f t="shared" si="14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arrêts définis par l'entreprise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3"/>
        <v>0</v>
      </c>
      <c r="AM48" s="292">
        <f t="shared" si="14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vacances non payées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3"/>
        <v>0</v>
      </c>
      <c r="AM49" s="292">
        <f t="shared" si="14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heures manquantes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3"/>
        <v>0</v>
      </c>
      <c r="AM50" s="292">
        <f t="shared" si="14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heures inproductives totales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5">ROUND(SUM(H39:H48),4)</f>
        <v>0</v>
      </c>
      <c r="I51" s="433">
        <f t="shared" si="15"/>
        <v>0</v>
      </c>
      <c r="J51" s="433">
        <f t="shared" si="15"/>
        <v>0</v>
      </c>
      <c r="K51" s="433">
        <f t="shared" si="15"/>
        <v>0</v>
      </c>
      <c r="L51" s="433">
        <f t="shared" si="15"/>
        <v>0</v>
      </c>
      <c r="M51" s="433">
        <f t="shared" si="15"/>
        <v>0</v>
      </c>
      <c r="N51" s="433">
        <f t="shared" si="15"/>
        <v>0</v>
      </c>
      <c r="O51" s="433">
        <f t="shared" si="15"/>
        <v>0</v>
      </c>
      <c r="P51" s="433">
        <f t="shared" si="15"/>
        <v>0</v>
      </c>
      <c r="Q51" s="433">
        <f t="shared" si="15"/>
        <v>0</v>
      </c>
      <c r="R51" s="433">
        <f t="shared" si="15"/>
        <v>0</v>
      </c>
      <c r="S51" s="433">
        <f t="shared" si="15"/>
        <v>0</v>
      </c>
      <c r="T51" s="433">
        <f t="shared" si="15"/>
        <v>0</v>
      </c>
      <c r="U51" s="433">
        <f t="shared" si="15"/>
        <v>0</v>
      </c>
      <c r="V51" s="433">
        <f t="shared" si="15"/>
        <v>0</v>
      </c>
      <c r="W51" s="433">
        <f t="shared" si="15"/>
        <v>0</v>
      </c>
      <c r="X51" s="433">
        <f t="shared" si="15"/>
        <v>0</v>
      </c>
      <c r="Y51" s="433">
        <f t="shared" si="15"/>
        <v>0</v>
      </c>
      <c r="Z51" s="433">
        <f t="shared" si="15"/>
        <v>0</v>
      </c>
      <c r="AA51" s="433">
        <f t="shared" si="15"/>
        <v>0</v>
      </c>
      <c r="AB51" s="433">
        <f t="shared" si="15"/>
        <v>0</v>
      </c>
      <c r="AC51" s="433">
        <f t="shared" si="15"/>
        <v>0</v>
      </c>
      <c r="AD51" s="433">
        <f t="shared" si="15"/>
        <v>0</v>
      </c>
      <c r="AE51" s="433">
        <f t="shared" si="15"/>
        <v>0</v>
      </c>
      <c r="AF51" s="433">
        <f t="shared" si="15"/>
        <v>0</v>
      </c>
      <c r="AG51" s="433">
        <f t="shared" si="15"/>
        <v>0</v>
      </c>
      <c r="AH51" s="433">
        <f t="shared" si="15"/>
        <v>0</v>
      </c>
      <c r="AI51" s="433">
        <f t="shared" si="15"/>
        <v>0</v>
      </c>
      <c r="AJ51" s="434">
        <f t="shared" si="15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contrôle et corrections</v>
      </c>
      <c r="E52" s="87"/>
      <c r="F52" s="146"/>
      <c r="G52" s="147" t="str">
        <f>H_Label!B292</f>
        <v>veuillez cocher les jours de correction avec "x"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jour de carence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exclure jour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22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corrections manuelles</v>
      </c>
      <c r="E56" s="149"/>
      <c r="F56" s="150" t="str">
        <f>H_Label!B298</f>
        <v>heures payées se année passée</v>
      </c>
      <c r="G56" s="150"/>
      <c r="H56" s="150"/>
      <c r="I56" s="150"/>
      <c r="J56" s="150"/>
      <c r="K56" s="835"/>
      <c r="L56" s="836"/>
      <c r="M56" s="837"/>
      <c r="N56" s="148"/>
      <c r="O56" s="148"/>
      <c r="P56" s="150" t="str">
        <f>H_Label!B299</f>
        <v>heures payées année en cours (heures supplémentaires)</v>
      </c>
      <c r="Q56" s="148"/>
      <c r="R56" s="148"/>
      <c r="S56" s="148"/>
      <c r="T56" s="148"/>
      <c r="U56" s="148"/>
      <c r="V56" s="148"/>
      <c r="W56" s="835"/>
      <c r="X56" s="836"/>
      <c r="Y56" s="837"/>
      <c r="Z56" s="148"/>
      <c r="AA56" s="150"/>
      <c r="AB56" s="148"/>
      <c r="AC56" s="148"/>
      <c r="AD56" s="150" t="str">
        <f>H_Label!B300</f>
        <v>vacances avoir / déduction</v>
      </c>
      <c r="AE56" s="150"/>
      <c r="AF56" s="150"/>
      <c r="AG56" s="150"/>
      <c r="AH56" s="835"/>
      <c r="AI56" s="836"/>
      <c r="AJ56" s="837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remarques</v>
      </c>
      <c r="E58" s="152"/>
      <c r="F58" s="814"/>
      <c r="G58" s="815"/>
      <c r="H58" s="815"/>
      <c r="I58" s="815"/>
      <c r="J58" s="815"/>
      <c r="K58" s="815"/>
      <c r="L58" s="815"/>
      <c r="M58" s="815"/>
      <c r="N58" s="815"/>
      <c r="O58" s="815"/>
      <c r="P58" s="815"/>
      <c r="Q58" s="815"/>
      <c r="R58" s="815"/>
      <c r="S58" s="815"/>
      <c r="T58" s="815"/>
      <c r="U58" s="815"/>
      <c r="V58" s="815"/>
      <c r="W58" s="815"/>
      <c r="X58" s="815"/>
      <c r="Y58" s="815"/>
      <c r="Z58" s="815"/>
      <c r="AA58" s="815"/>
      <c r="AB58" s="815"/>
      <c r="AC58" s="815"/>
      <c r="AD58" s="815"/>
      <c r="AE58" s="815"/>
      <c r="AF58" s="815"/>
      <c r="AG58" s="815"/>
      <c r="AH58" s="815"/>
      <c r="AI58" s="815"/>
      <c r="AJ58" s="816"/>
      <c r="AK58" s="396"/>
    </row>
    <row r="59" spans="1:46" ht="12" customHeight="1" x14ac:dyDescent="0.25">
      <c r="D59" s="153"/>
      <c r="E59" s="153"/>
      <c r="F59" s="817"/>
      <c r="G59" s="818"/>
      <c r="H59" s="818"/>
      <c r="I59" s="818"/>
      <c r="J59" s="818"/>
      <c r="K59" s="818"/>
      <c r="L59" s="818"/>
      <c r="M59" s="818"/>
      <c r="N59" s="818"/>
      <c r="O59" s="818"/>
      <c r="P59" s="818"/>
      <c r="Q59" s="818"/>
      <c r="R59" s="818"/>
      <c r="S59" s="818"/>
      <c r="T59" s="818"/>
      <c r="U59" s="818"/>
      <c r="V59" s="818"/>
      <c r="W59" s="818"/>
      <c r="X59" s="818"/>
      <c r="Y59" s="818"/>
      <c r="Z59" s="818"/>
      <c r="AA59" s="818"/>
      <c r="AB59" s="818"/>
      <c r="AC59" s="818"/>
      <c r="AD59" s="818"/>
      <c r="AE59" s="818"/>
      <c r="AF59" s="818"/>
      <c r="AG59" s="818"/>
      <c r="AH59" s="818"/>
      <c r="AI59" s="818"/>
      <c r="AJ59" s="819"/>
      <c r="AK59" s="396"/>
    </row>
    <row r="60" spans="1:46" ht="12" customHeight="1" x14ac:dyDescent="0.25">
      <c r="D60" s="154"/>
      <c r="E60" s="154"/>
      <c r="F60" s="832"/>
      <c r="G60" s="833"/>
      <c r="H60" s="833"/>
      <c r="I60" s="833"/>
      <c r="J60" s="833"/>
      <c r="K60" s="833"/>
      <c r="L60" s="833"/>
      <c r="M60" s="833"/>
      <c r="N60" s="833"/>
      <c r="O60" s="833"/>
      <c r="P60" s="833"/>
      <c r="Q60" s="833"/>
      <c r="R60" s="833"/>
      <c r="S60" s="833"/>
      <c r="T60" s="833"/>
      <c r="U60" s="833"/>
      <c r="V60" s="833"/>
      <c r="W60" s="833"/>
      <c r="X60" s="833"/>
      <c r="Y60" s="833"/>
      <c r="Z60" s="833"/>
      <c r="AA60" s="833"/>
      <c r="AB60" s="833"/>
      <c r="AC60" s="833"/>
      <c r="AD60" s="833"/>
      <c r="AE60" s="833"/>
      <c r="AF60" s="833"/>
      <c r="AG60" s="833"/>
      <c r="AH60" s="833"/>
      <c r="AI60" s="833"/>
      <c r="AJ60" s="834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J'ai contrôlé les comptes mensuels et vérifié leur exactitude.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09"/>
      <c r="G63" s="809"/>
      <c r="H63" s="809"/>
      <c r="I63" s="809"/>
      <c r="J63" s="809"/>
      <c r="K63" s="809"/>
      <c r="L63" s="809"/>
      <c r="M63" s="809"/>
      <c r="V63" s="809"/>
      <c r="W63" s="809"/>
      <c r="X63" s="809"/>
      <c r="Y63" s="809"/>
      <c r="Z63" s="809"/>
      <c r="AA63" s="809"/>
      <c r="AB63" s="809"/>
      <c r="AC63" s="809"/>
      <c r="AH63" s="809"/>
      <c r="AI63" s="809"/>
      <c r="AJ63" s="809"/>
    </row>
    <row r="64" spans="1:46" ht="15.75" x14ac:dyDescent="0.25">
      <c r="D64" s="156" t="str">
        <f>H_Label!B306</f>
        <v>visa employé</v>
      </c>
      <c r="E64" s="156"/>
      <c r="F64" s="810"/>
      <c r="G64" s="810"/>
      <c r="H64" s="810"/>
      <c r="I64" s="810"/>
      <c r="J64" s="810"/>
      <c r="K64" s="810"/>
      <c r="L64" s="810"/>
      <c r="M64" s="810"/>
      <c r="N64" s="156"/>
      <c r="O64" s="148"/>
      <c r="P64" s="156" t="str">
        <f>H_Label!B307</f>
        <v>visa supérieur hiérarchique</v>
      </c>
      <c r="Q64" s="148"/>
      <c r="R64" s="15"/>
      <c r="S64" s="156"/>
      <c r="T64" s="156"/>
      <c r="U64" s="156"/>
      <c r="V64" s="810"/>
      <c r="W64" s="810"/>
      <c r="X64" s="810"/>
      <c r="Y64" s="810"/>
      <c r="Z64" s="810"/>
      <c r="AA64" s="810"/>
      <c r="AB64" s="810"/>
      <c r="AC64" s="810"/>
      <c r="AD64" s="148"/>
      <c r="AE64" s="15"/>
      <c r="AF64" s="156" t="str">
        <f>H_Label!B308</f>
        <v>date</v>
      </c>
      <c r="AG64" s="15"/>
      <c r="AH64" s="810"/>
      <c r="AI64" s="810"/>
      <c r="AJ64" s="810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QzzAYXMfHuwcaLoh8l0wUj1DKOUiEXgtOHjo86OelI0CF7MuO3f4uucP0EE971HV8LazYZjtmk9xlcJzmm2YeQ==" saltValue="FAaSTIoT63u/S+ZEtFqCHQ==" spinCount="100000" sheet="1" objects="1" scenarios="1"/>
  <mergeCells count="23">
    <mergeCell ref="F63:M64"/>
    <mergeCell ref="V63:AC64"/>
    <mergeCell ref="AH63:AJ64"/>
    <mergeCell ref="K56:M56"/>
    <mergeCell ref="W56:Y56"/>
    <mergeCell ref="AH56:AJ56"/>
    <mergeCell ref="F58:AJ58"/>
    <mergeCell ref="F59:AJ59"/>
    <mergeCell ref="F60:AJ60"/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</mergeCells>
  <conditionalFormatting sqref="D37:AJ37">
    <cfRule type="expression" dxfId="80" priority="14">
      <formula>AND(M_Monat&gt;4,M_Monat&lt;10)</formula>
    </cfRule>
    <cfRule type="expression" dxfId="79" priority="15">
      <formula>M_Monat&gt;=10</formula>
    </cfRule>
  </conditionalFormatting>
  <conditionalFormatting sqref="E15:AK15">
    <cfRule type="expression" dxfId="78" priority="9">
      <formula>E$15=2</formula>
    </cfRule>
  </conditionalFormatting>
  <conditionalFormatting sqref="F17:AJ17">
    <cfRule type="expression" dxfId="77" priority="12">
      <formula>OR(AND(DAY(F$16)&lt;&gt;1,WEEKDAY(F$16,2)&lt;&gt;1),F$14=0)</formula>
    </cfRule>
    <cfRule type="expression" dxfId="76" priority="13">
      <formula>OR(F$15=2,AND(F$14=1,WEEKDAY(F$16,2)=7))</formula>
    </cfRule>
  </conditionalFormatting>
  <conditionalFormatting sqref="F18:AJ21 F23:AJ28 F31:AJ31 F33:AJ34 F36:AJ51 F53:AJ54">
    <cfRule type="expression" dxfId="75" priority="17">
      <formula>F$21="ft"</formula>
    </cfRule>
  </conditionalFormatting>
  <conditionalFormatting sqref="F18:AJ21 F23:AJ29 F31:AJ34 F36:AJ51 F53:AJ54">
    <cfRule type="expression" dxfId="74" priority="8">
      <formula>AND(F$14=0,$B18=0)</formula>
    </cfRule>
  </conditionalFormatting>
  <conditionalFormatting sqref="F28:AJ29 F32:AJ32">
    <cfRule type="expression" dxfId="73" priority="10">
      <formula>OR(WEEKDAY(F$16,2)=7,F$15=2)</formula>
    </cfRule>
  </conditionalFormatting>
  <conditionalFormatting sqref="F36:AJ51 F53:AJ54 F18:AJ21 F23:AJ28 F31:AJ31 F33:AJ34">
    <cfRule type="expression" dxfId="72" priority="16">
      <formula>WEEKDAY(F$18,2)=7</formula>
    </cfRule>
    <cfRule type="expression" dxfId="71" priority="18">
      <formula>WEEKDAY(F$18,2)=6</formula>
    </cfRule>
  </conditionalFormatting>
  <conditionalFormatting sqref="F53:AJ54">
    <cfRule type="containsText" dxfId="70" priority="11" operator="containsText" text="x">
      <formula>NOT(ISERROR(SEARCH("x",F53)))</formula>
    </cfRule>
  </conditionalFormatting>
  <conditionalFormatting sqref="J3:L3">
    <cfRule type="expression" dxfId="69" priority="1">
      <formula>B_fldSaldoVJ=0</formula>
    </cfRule>
  </conditionalFormatting>
  <conditionalFormatting sqref="AB3:AD3">
    <cfRule type="expression" dxfId="66" priority="2">
      <formula>H_fldFerienEndSaldo&lt;0</formula>
    </cfRule>
  </conditionalFormatting>
  <conditionalFormatting sqref="AG18:AJ21 AG23:AJ29 AG31:AJ34 AG36:AJ51 AG53:AJ54">
    <cfRule type="expression" dxfId="65" priority="6">
      <formula>AND(AG$14=0,$B18&lt;&gt;0)</formula>
    </cfRule>
    <cfRule type="expression" dxfId="64" priority="7">
      <formula>AG$15=2</formula>
    </cfRule>
  </conditionalFormatting>
  <conditionalFormatting sqref="AJ17:AJ21 AJ23:AJ29 AJ31:AJ34 AJ36:AJ51 AJ53:AJ54">
    <cfRule type="expression" dxfId="63" priority="5">
      <formula>AK$15="m"</formula>
    </cfRule>
  </conditionalFormatting>
  <dataValidations count="11"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A529856E-977B-48C9-B3E2-A7C95834307C}">
      <formula1>-4000</formula1>
      <formula2>24</formula2>
    </dataValidation>
    <dataValidation type="custom" operator="greaterThanOrEqual" showErrorMessage="1" errorTitle="Karenztag" error="Zuerst Stunden im Feld &quot;Krankheit&quot; erfassen!" sqref="F53:AJ53" xr:uid="{A80F3127-37E8-473E-AD03-068A489AD5EC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2A60310A-F065-441D-939D-58F96F45B41F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43566DE4-1F0C-4ABF-B180-A363F4963ACE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B205EA8A-C0BA-4A56-A8A4-B859EFADE024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40A72FC6-C81E-4D2A-8FE9-59B568653C45}"/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CAC35EE6-3E58-4A4F-A582-86B124E6972A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454D95CC-9C8D-4355-9F00-C4DF2D4D157C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F02EC7CF-E1F3-4785-AE67-180E8B39B19C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4CB8A5E1-9A8D-46B8-B6FB-07C35B842F94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9:AK50" xr:uid="{2D7B5A42-368D-42FB-B674-1DB09D8560E6}">
      <formula1>-4000</formula1>
    </dataValidation>
  </dataValidations>
  <hyperlinks>
    <hyperlink ref="AJ12" location="Jahresauswertung!H3" display="." xr:uid="{4FA6048F-4332-4AA4-9914-C243251E59E3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FFDE785-E00F-4A65-BCE7-9F86485895CB}">
            <xm:f>'report annuel'!$X$34=0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DF539DDE-4EFE-45AC-B5A9-FD74CD57FDA4}">
            <xm:f>'report annuel'!$X$34&lt;0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DB401-A7B5-4348-A4F7-DC24EB87EC93}">
  <sheetPr codeName="conf0"/>
  <dimension ref="A3:E33"/>
  <sheetViews>
    <sheetView workbookViewId="0">
      <selection activeCell="E27" sqref="E27"/>
    </sheetView>
  </sheetViews>
  <sheetFormatPr baseColWidth="10" defaultColWidth="10.85546875" defaultRowHeight="12.75" x14ac:dyDescent="0.2"/>
  <cols>
    <col min="1" max="1" width="10.85546875" style="599"/>
    <col min="2" max="2" width="15.42578125" style="599" customWidth="1"/>
    <col min="3" max="3" width="18" style="599" customWidth="1"/>
    <col min="4" max="4" width="15.85546875" style="599" customWidth="1"/>
    <col min="5" max="5" width="21.42578125" style="599" customWidth="1"/>
    <col min="6" max="16384" width="10.85546875" style="599"/>
  </cols>
  <sheetData>
    <row r="3" spans="1:5" x14ac:dyDescent="0.2">
      <c r="A3" s="599" t="s">
        <v>851</v>
      </c>
    </row>
    <row r="4" spans="1:5" x14ac:dyDescent="0.2">
      <c r="A4" s="599" t="s">
        <v>852</v>
      </c>
      <c r="B4" s="599" t="s">
        <v>3</v>
      </c>
      <c r="C4" s="599" t="s">
        <v>853</v>
      </c>
      <c r="D4" s="599" t="s">
        <v>854</v>
      </c>
      <c r="E4" s="599" t="s">
        <v>855</v>
      </c>
    </row>
    <row r="5" spans="1:5" x14ac:dyDescent="0.2">
      <c r="A5" s="600">
        <v>0</v>
      </c>
      <c r="B5" s="599" t="s">
        <v>856</v>
      </c>
      <c r="C5" s="599" t="s">
        <v>857</v>
      </c>
    </row>
    <row r="6" spans="1:5" x14ac:dyDescent="0.2">
      <c r="A6" s="600">
        <v>1</v>
      </c>
      <c r="B6" s="599" t="s">
        <v>87</v>
      </c>
      <c r="C6" s="599" t="s">
        <v>87</v>
      </c>
    </row>
    <row r="7" spans="1:5" x14ac:dyDescent="0.2">
      <c r="A7" s="600"/>
      <c r="B7" s="599" t="s">
        <v>89</v>
      </c>
      <c r="C7" s="599" t="s">
        <v>858</v>
      </c>
    </row>
    <row r="8" spans="1:5" x14ac:dyDescent="0.2">
      <c r="A8" s="600"/>
      <c r="B8" s="599" t="s">
        <v>91</v>
      </c>
      <c r="C8" s="599" t="s">
        <v>859</v>
      </c>
    </row>
    <row r="9" spans="1:5" x14ac:dyDescent="0.2">
      <c r="A9" s="600"/>
      <c r="B9" s="599" t="s">
        <v>93</v>
      </c>
      <c r="C9" s="599" t="s">
        <v>860</v>
      </c>
    </row>
    <row r="10" spans="1:5" x14ac:dyDescent="0.2">
      <c r="A10" s="600"/>
      <c r="B10" s="599" t="s">
        <v>95</v>
      </c>
      <c r="C10" s="599" t="s">
        <v>95</v>
      </c>
    </row>
    <row r="11" spans="1:5" x14ac:dyDescent="0.2">
      <c r="A11" s="600"/>
      <c r="B11" s="599" t="s">
        <v>96</v>
      </c>
      <c r="C11" s="599" t="s">
        <v>96</v>
      </c>
    </row>
    <row r="12" spans="1:5" x14ac:dyDescent="0.2">
      <c r="A12" s="600"/>
      <c r="B12" s="599" t="s">
        <v>98</v>
      </c>
      <c r="C12" s="599" t="s">
        <v>98</v>
      </c>
    </row>
    <row r="13" spans="1:5" x14ac:dyDescent="0.2">
      <c r="A13" s="600"/>
      <c r="B13" s="599" t="s">
        <v>100</v>
      </c>
      <c r="C13" s="599" t="s">
        <v>861</v>
      </c>
    </row>
    <row r="14" spans="1:5" x14ac:dyDescent="0.2">
      <c r="A14" s="600"/>
      <c r="B14" s="599" t="s">
        <v>102</v>
      </c>
      <c r="C14" s="599" t="s">
        <v>102</v>
      </c>
    </row>
    <row r="15" spans="1:5" x14ac:dyDescent="0.2">
      <c r="A15" s="600"/>
      <c r="B15" s="599" t="s">
        <v>104</v>
      </c>
      <c r="C15" s="599" t="s">
        <v>862</v>
      </c>
    </row>
    <row r="16" spans="1:5" x14ac:dyDescent="0.2">
      <c r="A16" s="600"/>
      <c r="B16" s="599" t="s">
        <v>106</v>
      </c>
      <c r="C16" s="599" t="s">
        <v>106</v>
      </c>
    </row>
    <row r="17" spans="1:3" x14ac:dyDescent="0.2">
      <c r="A17" s="600"/>
      <c r="B17" s="599" t="s">
        <v>108</v>
      </c>
      <c r="C17" s="599" t="s">
        <v>863</v>
      </c>
    </row>
    <row r="18" spans="1:3" x14ac:dyDescent="0.2">
      <c r="A18" s="600"/>
      <c r="B18" s="599" t="s">
        <v>257</v>
      </c>
      <c r="C18" s="599" t="s">
        <v>864</v>
      </c>
    </row>
    <row r="19" spans="1:3" x14ac:dyDescent="0.2">
      <c r="A19" s="600"/>
    </row>
    <row r="20" spans="1:3" x14ac:dyDescent="0.2">
      <c r="A20" s="600"/>
    </row>
    <row r="21" spans="1:3" x14ac:dyDescent="0.2">
      <c r="A21" s="600"/>
    </row>
    <row r="22" spans="1:3" x14ac:dyDescent="0.2">
      <c r="A22" s="600"/>
    </row>
    <row r="23" spans="1:3" x14ac:dyDescent="0.2">
      <c r="A23" s="600"/>
    </row>
    <row r="24" spans="1:3" x14ac:dyDescent="0.2">
      <c r="A24" s="600"/>
    </row>
    <row r="25" spans="1:3" x14ac:dyDescent="0.2">
      <c r="A25" s="600"/>
    </row>
    <row r="26" spans="1:3" x14ac:dyDescent="0.2">
      <c r="A26" s="600"/>
    </row>
    <row r="27" spans="1:3" x14ac:dyDescent="0.2">
      <c r="A27" s="600"/>
    </row>
    <row r="28" spans="1:3" x14ac:dyDescent="0.2">
      <c r="A28" s="600"/>
    </row>
    <row r="29" spans="1:3" x14ac:dyDescent="0.2">
      <c r="A29" s="600"/>
    </row>
    <row r="30" spans="1:3" x14ac:dyDescent="0.2">
      <c r="A30" s="600"/>
    </row>
    <row r="31" spans="1:3" x14ac:dyDescent="0.2">
      <c r="A31" s="600"/>
    </row>
    <row r="32" spans="1:3" x14ac:dyDescent="0.2">
      <c r="A32" s="600"/>
    </row>
    <row r="33" spans="1:1" x14ac:dyDescent="0.2">
      <c r="A33" s="600"/>
    </row>
  </sheetData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BFFDE-64BA-41CF-8A00-E9AAB88D7DF6}">
  <sheetPr codeName="ts10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"/>
      <selection pane="bottomLeft" activeCell="R27" sqref="R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13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13"/>
      <c r="F3" s="550" t="str">
        <f>H_Label!B32</f>
        <v>heures année passée</v>
      </c>
      <c r="G3" s="551"/>
      <c r="H3" s="551"/>
      <c r="I3" s="551"/>
      <c r="J3" s="812" t="str">
        <f>TEXT('report annuel'!$X$34,"0.00")&amp;" / "&amp;TEXT(B_fldSaldoVJ,"0.00")</f>
        <v>0.00 / 0.00</v>
      </c>
      <c r="K3" s="812"/>
      <c r="L3" s="812"/>
      <c r="M3" s="552"/>
      <c r="N3" s="552"/>
      <c r="O3" s="550" t="str">
        <f>H_Label!B33</f>
        <v>heures année en cours</v>
      </c>
      <c r="P3" s="551"/>
      <c r="Q3" s="551"/>
      <c r="R3" s="551"/>
      <c r="S3" s="551"/>
      <c r="T3" s="831">
        <f>'report annuel'!$AD$43</f>
        <v>-2016</v>
      </c>
      <c r="U3" s="831"/>
      <c r="V3" s="831"/>
      <c r="W3" s="552"/>
      <c r="X3" s="552"/>
      <c r="Y3" s="550" t="str">
        <f>H_Label!B34</f>
        <v>se des vacences</v>
      </c>
      <c r="Z3" s="551"/>
      <c r="AA3" s="551"/>
      <c r="AB3" s="812" t="str">
        <f ca="1">TEXT(H_fldFerienEndSaldo,"0.00")&amp;" / "&amp;TEXT(H_fldFerienSaldoKORR,"0.00")</f>
        <v>176.00 / 176.00</v>
      </c>
      <c r="AC3" s="812"/>
      <c r="AD3" s="812"/>
      <c r="AF3" s="148"/>
      <c r="AG3" s="148"/>
      <c r="AH3" s="148"/>
      <c r="AI3" s="148"/>
      <c r="AJ3" s="148"/>
    </row>
    <row r="4" spans="1:46" ht="13.5" customHeight="1" x14ac:dyDescent="0.25">
      <c r="D4" s="813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taux d'occupation réel</v>
      </c>
      <c r="AH5" s="527"/>
      <c r="AI5" s="830">
        <f>AN54</f>
        <v>1</v>
      </c>
      <c r="AJ5" s="830"/>
      <c r="AK5" s="388"/>
    </row>
    <row r="6" spans="1:46" ht="27.95" customHeight="1" x14ac:dyDescent="0.25">
      <c r="D6" s="174" t="str">
        <f>H_Label!$B$221 &amp;" "&amp;TEXT('fiche du personnel'!$U$1,"JJJJ")</f>
        <v>Contrôle des heures de travail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28" t="str">
        <f>'fiche du personnel'!$G$3</f>
        <v>Peinture Exemple SA</v>
      </c>
      <c r="Z6" s="828"/>
      <c r="AA6" s="828"/>
      <c r="AB6" s="828"/>
      <c r="AC6" s="828"/>
      <c r="AD6" s="828"/>
      <c r="AE6" s="828"/>
      <c r="AF6" s="828"/>
      <c r="AG6" s="828"/>
      <c r="AH6" s="828"/>
      <c r="AI6" s="828"/>
      <c r="AJ6" s="829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employé</v>
      </c>
      <c r="E8" s="31"/>
      <c r="F8" s="820" t="str">
        <f>'fiche du personnel'!$G$6</f>
        <v>Martin Dupont</v>
      </c>
      <c r="G8" s="821"/>
      <c r="H8" s="821"/>
      <c r="I8" s="821"/>
      <c r="J8" s="821"/>
      <c r="K8" s="822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occupation (%)</v>
      </c>
      <c r="E9" s="374"/>
      <c r="F9" s="823" cm="1">
        <f t="array" ref="F9">SUMPRODUCT((H_tblBGMnt=M_Monat)*H_tblBGavg)</f>
        <v>100</v>
      </c>
      <c r="G9" s="824"/>
      <c r="H9" s="825" t="str">
        <f>H_Label!B224&amp;" "&amp;D12</f>
        <v>en octobre</v>
      </c>
      <c r="I9" s="826"/>
      <c r="J9" s="826"/>
      <c r="K9" s="827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se pour l'année</v>
      </c>
      <c r="E10" s="89"/>
      <c r="F10" s="838">
        <f>DATE(A_Jahr,AM13,1)</f>
        <v>46296</v>
      </c>
      <c r="G10" s="839"/>
      <c r="H10" s="840">
        <f>'report annuel'!AF42</f>
        <v>-2016</v>
      </c>
      <c r="I10" s="841"/>
      <c r="J10" s="841"/>
      <c r="K10" s="842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11" t="s">
        <v>501</v>
      </c>
      <c r="D12" s="494" t="str">
        <f>TEXT($F$10,"MMMM"&amp;H_Label!$B$23)</f>
        <v>octobre</v>
      </c>
      <c r="E12" s="375"/>
      <c r="F12" s="843" t="str">
        <f>H_Label!B231</f>
        <v>se mois + / -</v>
      </c>
      <c r="G12" s="844"/>
      <c r="H12" s="844"/>
      <c r="I12" s="845"/>
      <c r="J12" s="846" cm="1">
        <f t="array" ref="J12">INDEX(H_dMNTCurrentSaldo,1,M_Monat)</f>
        <v>-176</v>
      </c>
      <c r="K12" s="847"/>
      <c r="L12" s="157"/>
      <c r="M12" s="158"/>
      <c r="N12" s="202"/>
      <c r="O12" s="159" t="str">
        <f>H_Label!B240</f>
        <v xml:space="preserve"> = </v>
      </c>
      <c r="P12" s="151" t="str">
        <f>H_Label!B241</f>
        <v>seules les cases/champs jaunes sont saisissables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11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10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11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1</v>
      </c>
      <c r="AI14" s="410">
        <f t="shared" si="0"/>
        <v>1</v>
      </c>
      <c r="AJ14" s="411">
        <f t="shared" si="0"/>
        <v>1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11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3</v>
      </c>
      <c r="AH15" s="418">
        <f t="shared" si="1"/>
        <v>3</v>
      </c>
      <c r="AI15" s="418">
        <f t="shared" si="1"/>
        <v>3</v>
      </c>
      <c r="AJ15" s="419">
        <f t="shared" si="1"/>
        <v>2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46296</v>
      </c>
      <c r="G16" s="422">
        <f>F$16+1</f>
        <v>46297</v>
      </c>
      <c r="H16" s="422">
        <f t="shared" ref="H16:AJ16" si="2">G$16+1</f>
        <v>46298</v>
      </c>
      <c r="I16" s="422">
        <f t="shared" si="2"/>
        <v>46299</v>
      </c>
      <c r="J16" s="422">
        <f t="shared" si="2"/>
        <v>46300</v>
      </c>
      <c r="K16" s="422">
        <f t="shared" si="2"/>
        <v>46301</v>
      </c>
      <c r="L16" s="423">
        <f t="shared" si="2"/>
        <v>46302</v>
      </c>
      <c r="M16" s="423">
        <f t="shared" si="2"/>
        <v>46303</v>
      </c>
      <c r="N16" s="424">
        <f t="shared" si="2"/>
        <v>46304</v>
      </c>
      <c r="O16" s="425">
        <f t="shared" si="2"/>
        <v>46305</v>
      </c>
      <c r="P16" s="425">
        <f t="shared" si="2"/>
        <v>46306</v>
      </c>
      <c r="Q16" s="425">
        <f t="shared" si="2"/>
        <v>46307</v>
      </c>
      <c r="R16" s="425">
        <f t="shared" si="2"/>
        <v>46308</v>
      </c>
      <c r="S16" s="425">
        <f t="shared" si="2"/>
        <v>46309</v>
      </c>
      <c r="T16" s="425">
        <f t="shared" si="2"/>
        <v>46310</v>
      </c>
      <c r="U16" s="425">
        <f t="shared" si="2"/>
        <v>46311</v>
      </c>
      <c r="V16" s="425">
        <f t="shared" si="2"/>
        <v>46312</v>
      </c>
      <c r="W16" s="425">
        <f t="shared" si="2"/>
        <v>46313</v>
      </c>
      <c r="X16" s="425">
        <f t="shared" si="2"/>
        <v>46314</v>
      </c>
      <c r="Y16" s="425">
        <f t="shared" si="2"/>
        <v>46315</v>
      </c>
      <c r="Z16" s="425">
        <f t="shared" si="2"/>
        <v>46316</v>
      </c>
      <c r="AA16" s="425">
        <f t="shared" si="2"/>
        <v>46317</v>
      </c>
      <c r="AB16" s="425">
        <f t="shared" si="2"/>
        <v>46318</v>
      </c>
      <c r="AC16" s="425">
        <f t="shared" si="2"/>
        <v>46319</v>
      </c>
      <c r="AD16" s="425">
        <f t="shared" si="2"/>
        <v>46320</v>
      </c>
      <c r="AE16" s="425">
        <f t="shared" si="2"/>
        <v>46321</v>
      </c>
      <c r="AF16" s="426">
        <f t="shared" si="2"/>
        <v>46322</v>
      </c>
      <c r="AG16" s="426">
        <f t="shared" si="2"/>
        <v>46323</v>
      </c>
      <c r="AH16" s="426">
        <f t="shared" si="2"/>
        <v>46324</v>
      </c>
      <c r="AI16" s="426">
        <f t="shared" si="2"/>
        <v>46325</v>
      </c>
      <c r="AJ16" s="427">
        <f t="shared" si="2"/>
        <v>46326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semaine civile</v>
      </c>
      <c r="E17" s="291"/>
      <c r="F17" s="205">
        <f>WEEKNUM(F$16,21)</f>
        <v>40</v>
      </c>
      <c r="G17" s="203">
        <f t="shared" ref="G17:AJ17" si="3">WEEKNUM(G$16,21)</f>
        <v>40</v>
      </c>
      <c r="H17" s="203">
        <f t="shared" si="3"/>
        <v>40</v>
      </c>
      <c r="I17" s="203">
        <f t="shared" si="3"/>
        <v>40</v>
      </c>
      <c r="J17" s="203">
        <f t="shared" si="3"/>
        <v>41</v>
      </c>
      <c r="K17" s="203">
        <f t="shared" si="3"/>
        <v>41</v>
      </c>
      <c r="L17" s="203">
        <f t="shared" si="3"/>
        <v>41</v>
      </c>
      <c r="M17" s="203">
        <f t="shared" si="3"/>
        <v>41</v>
      </c>
      <c r="N17" s="203">
        <f t="shared" si="3"/>
        <v>41</v>
      </c>
      <c r="O17" s="203">
        <f t="shared" si="3"/>
        <v>41</v>
      </c>
      <c r="P17" s="203">
        <f t="shared" si="3"/>
        <v>41</v>
      </c>
      <c r="Q17" s="203">
        <f t="shared" si="3"/>
        <v>42</v>
      </c>
      <c r="R17" s="203">
        <f t="shared" si="3"/>
        <v>42</v>
      </c>
      <c r="S17" s="203">
        <f t="shared" si="3"/>
        <v>42</v>
      </c>
      <c r="T17" s="203">
        <f t="shared" si="3"/>
        <v>42</v>
      </c>
      <c r="U17" s="203">
        <f t="shared" si="3"/>
        <v>42</v>
      </c>
      <c r="V17" s="203">
        <f t="shared" si="3"/>
        <v>42</v>
      </c>
      <c r="W17" s="203">
        <f t="shared" si="3"/>
        <v>42</v>
      </c>
      <c r="X17" s="203">
        <f t="shared" si="3"/>
        <v>43</v>
      </c>
      <c r="Y17" s="203">
        <f t="shared" si="3"/>
        <v>43</v>
      </c>
      <c r="Z17" s="203">
        <f t="shared" si="3"/>
        <v>43</v>
      </c>
      <c r="AA17" s="203">
        <f t="shared" si="3"/>
        <v>43</v>
      </c>
      <c r="AB17" s="203">
        <f t="shared" si="3"/>
        <v>43</v>
      </c>
      <c r="AC17" s="203">
        <f t="shared" si="3"/>
        <v>43</v>
      </c>
      <c r="AD17" s="203">
        <f t="shared" si="3"/>
        <v>43</v>
      </c>
      <c r="AE17" s="203">
        <f t="shared" si="3"/>
        <v>44</v>
      </c>
      <c r="AF17" s="203">
        <f t="shared" si="3"/>
        <v>44</v>
      </c>
      <c r="AG17" s="203">
        <f t="shared" si="3"/>
        <v>44</v>
      </c>
      <c r="AH17" s="203">
        <f t="shared" si="3"/>
        <v>44</v>
      </c>
      <c r="AI17" s="203">
        <f t="shared" si="3"/>
        <v>44</v>
      </c>
      <c r="AJ17" s="204">
        <f t="shared" si="3"/>
        <v>44</v>
      </c>
      <c r="AK17" s="398"/>
      <c r="AL17" s="114" cm="1">
        <f t="array" ref="AL17">SUM(IF(FREQUENCY(F17:AJ17,F17:AJ17)&gt;0,1))</f>
        <v>5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46296</v>
      </c>
      <c r="G18" s="28">
        <f t="shared" ref="G18:AJ18" si="4">IF(G14,G16,0)</f>
        <v>46297</v>
      </c>
      <c r="H18" s="27">
        <f t="shared" si="4"/>
        <v>46298</v>
      </c>
      <c r="I18" s="27">
        <f t="shared" si="4"/>
        <v>46299</v>
      </c>
      <c r="J18" s="27">
        <f t="shared" si="4"/>
        <v>46300</v>
      </c>
      <c r="K18" s="27">
        <f t="shared" si="4"/>
        <v>46301</v>
      </c>
      <c r="L18" s="27">
        <f t="shared" si="4"/>
        <v>46302</v>
      </c>
      <c r="M18" s="27">
        <f t="shared" si="4"/>
        <v>46303</v>
      </c>
      <c r="N18" s="27">
        <f t="shared" si="4"/>
        <v>46304</v>
      </c>
      <c r="O18" s="27">
        <f t="shared" si="4"/>
        <v>46305</v>
      </c>
      <c r="P18" s="27">
        <f t="shared" si="4"/>
        <v>46306</v>
      </c>
      <c r="Q18" s="27">
        <f t="shared" si="4"/>
        <v>46307</v>
      </c>
      <c r="R18" s="27">
        <f t="shared" si="4"/>
        <v>46308</v>
      </c>
      <c r="S18" s="27">
        <f t="shared" si="4"/>
        <v>46309</v>
      </c>
      <c r="T18" s="27">
        <f t="shared" si="4"/>
        <v>46310</v>
      </c>
      <c r="U18" s="27">
        <f t="shared" si="4"/>
        <v>46311</v>
      </c>
      <c r="V18" s="27">
        <f t="shared" si="4"/>
        <v>46312</v>
      </c>
      <c r="W18" s="27">
        <f t="shared" si="4"/>
        <v>46313</v>
      </c>
      <c r="X18" s="27">
        <f t="shared" si="4"/>
        <v>46314</v>
      </c>
      <c r="Y18" s="27">
        <f t="shared" si="4"/>
        <v>46315</v>
      </c>
      <c r="Z18" s="27">
        <f t="shared" si="4"/>
        <v>46316</v>
      </c>
      <c r="AA18" s="27">
        <f t="shared" si="4"/>
        <v>46317</v>
      </c>
      <c r="AB18" s="27">
        <f t="shared" si="4"/>
        <v>46318</v>
      </c>
      <c r="AC18" s="27">
        <f t="shared" si="4"/>
        <v>46319</v>
      </c>
      <c r="AD18" s="27">
        <f t="shared" si="4"/>
        <v>46320</v>
      </c>
      <c r="AE18" s="27">
        <f t="shared" si="4"/>
        <v>46321</v>
      </c>
      <c r="AF18" s="27">
        <f t="shared" si="4"/>
        <v>46322</v>
      </c>
      <c r="AG18" s="27">
        <f t="shared" si="4"/>
        <v>46323</v>
      </c>
      <c r="AH18" s="27">
        <f t="shared" si="4"/>
        <v>46324</v>
      </c>
      <c r="AI18" s="198">
        <f t="shared" si="4"/>
        <v>46325</v>
      </c>
      <c r="AJ18" s="198">
        <f t="shared" si="4"/>
        <v>46326</v>
      </c>
      <c r="AK18" s="399"/>
      <c r="AL18" s="115">
        <f>_xlfn.DAYS(EOMONTH($F$18,0),$F$18)+1</f>
        <v>31</v>
      </c>
      <c r="AM18" s="287">
        <f>AL19*A_fldSollTagStd</f>
        <v>176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jeu.</v>
      </c>
      <c r="G19" s="92" t="str">
        <f>IF(G14=1,TEXT(G$18,H_Label!$B$24&amp;"TTT"),0)</f>
        <v>ven.</v>
      </c>
      <c r="H19" s="92" t="str">
        <f>IF(H14=1,TEXT(H$18,H_Label!$B$24&amp;"TTT"),0)</f>
        <v>sam.</v>
      </c>
      <c r="I19" s="92" t="str">
        <f>IF(I14=1,TEXT(I$18,H_Label!$B$24&amp;"TTT"),0)</f>
        <v>dim.</v>
      </c>
      <c r="J19" s="92" t="str">
        <f>IF(J14=1,TEXT(J$18,H_Label!$B$24&amp;"TTT"),0)</f>
        <v>lun.</v>
      </c>
      <c r="K19" s="92" t="str">
        <f>IF(K14=1,TEXT(K$18,H_Label!$B$24&amp;"TTT"),0)</f>
        <v>mar.</v>
      </c>
      <c r="L19" s="92" t="str">
        <f>IF(L14=1,TEXT(L$18,H_Label!$B$24&amp;"TTT"),0)</f>
        <v>mer.</v>
      </c>
      <c r="M19" s="92" t="str">
        <f>IF(M14=1,TEXT(M$18,H_Label!$B$24&amp;"TTT"),0)</f>
        <v>jeu.</v>
      </c>
      <c r="N19" s="92" t="str">
        <f>IF(N14=1,TEXT(N$18,H_Label!$B$24&amp;"TTT"),0)</f>
        <v>ven.</v>
      </c>
      <c r="O19" s="92" t="str">
        <f>IF(O14=1,TEXT(O$18,H_Label!$B$24&amp;"TTT"),0)</f>
        <v>sam.</v>
      </c>
      <c r="P19" s="92" t="str">
        <f>IF(P14=1,TEXT(P$18,H_Label!$B$24&amp;"TTT"),0)</f>
        <v>dim.</v>
      </c>
      <c r="Q19" s="92" t="str">
        <f>IF(Q14=1,TEXT(Q$18,H_Label!$B$24&amp;"TTT"),0)</f>
        <v>lun.</v>
      </c>
      <c r="R19" s="92" t="str">
        <f>IF(R14=1,TEXT(R$18,H_Label!$B$24&amp;"TTT"),0)</f>
        <v>mar.</v>
      </c>
      <c r="S19" s="92" t="str">
        <f>IF(S14=1,TEXT(S$18,H_Label!$B$24&amp;"TTT"),0)</f>
        <v>mer.</v>
      </c>
      <c r="T19" s="92" t="str">
        <f>IF(T14=1,TEXT(T$18,H_Label!$B$24&amp;"TTT"),0)</f>
        <v>jeu.</v>
      </c>
      <c r="U19" s="92" t="str">
        <f>IF(U14=1,TEXT(U$18,H_Label!$B$24&amp;"TTT"),0)</f>
        <v>ven.</v>
      </c>
      <c r="V19" s="92" t="str">
        <f>IF(V14=1,TEXT(V$18,H_Label!$B$24&amp;"TTT"),0)</f>
        <v>sam.</v>
      </c>
      <c r="W19" s="92" t="str">
        <f>IF(W14=1,TEXT(W$18,H_Label!$B$24&amp;"TTT"),0)</f>
        <v>dim.</v>
      </c>
      <c r="X19" s="92" t="str">
        <f>IF(X14=1,TEXT(X$18,H_Label!$B$24&amp;"TTT"),0)</f>
        <v>lun.</v>
      </c>
      <c r="Y19" s="92" t="str">
        <f>IF(Y14=1,TEXT(Y$18,H_Label!$B$24&amp;"TTT"),0)</f>
        <v>mar.</v>
      </c>
      <c r="Z19" s="92" t="str">
        <f>IF(Z14=1,TEXT(Z$18,H_Label!$B$24&amp;"TTT"),0)</f>
        <v>mer.</v>
      </c>
      <c r="AA19" s="92" t="str">
        <f>IF(AA14=1,TEXT(AA$18,H_Label!$B$24&amp;"TTT"),0)</f>
        <v>jeu.</v>
      </c>
      <c r="AB19" s="92" t="str">
        <f>IF(AB14=1,TEXT(AB$18,H_Label!$B$24&amp;"TTT"),0)</f>
        <v>ven.</v>
      </c>
      <c r="AC19" s="92" t="str">
        <f>IF(AC14=1,TEXT(AC$18,H_Label!$B$24&amp;"TTT"),0)</f>
        <v>sam.</v>
      </c>
      <c r="AD19" s="92" t="str">
        <f>IF(AD14=1,TEXT(AD$18,H_Label!$B$24&amp;"TTT"),0)</f>
        <v>dim.</v>
      </c>
      <c r="AE19" s="92" t="str">
        <f>IF(AE14=1,TEXT(AE$18,H_Label!$B$24&amp;"TTT"),0)</f>
        <v>lun.</v>
      </c>
      <c r="AF19" s="92" t="str">
        <f>IF(AF14=1,TEXT(AF$18,H_Label!$B$24&amp;"TTT"),0)</f>
        <v>mar.</v>
      </c>
      <c r="AG19" s="92" t="str">
        <f>IF(AG14=1,TEXT(AG$18,H_Label!$B$24&amp;"TTT"),0)</f>
        <v>mer.</v>
      </c>
      <c r="AH19" s="92" t="str">
        <f>IF(AH14=1,TEXT(AH$18,H_Label!$B$24&amp;"TTT"),0)</f>
        <v>jeu.</v>
      </c>
      <c r="AI19" s="92" t="str">
        <f>IF(AI14=1,TEXT(AI$18,H_Label!$B$24&amp;"TTT"),0)</f>
        <v>ven.</v>
      </c>
      <c r="AJ19" s="92" t="str">
        <f>IF(AJ14=1,TEXT(AJ$18,H_Label!$B$24&amp;"TTT"),0)</f>
        <v>sam.</v>
      </c>
      <c r="AK19" s="400"/>
      <c r="AL19" s="117">
        <f>NETWORKDAYS($F$18,EOMONTH($F$18,0))</f>
        <v>22</v>
      </c>
      <c r="AM19" s="288">
        <f>SUM(F20:AJ20)</f>
        <v>176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heures théorique</v>
      </c>
      <c r="E20" s="19"/>
      <c r="F20" s="26" cm="1">
        <f t="array" ref="F20">IF(OR(F14=0,F54="x"),0,A_fldSollTagStd*SUMPRODUCT((H_tblBGTage=WEEKDAY(F16,2))*(H_tblBGMnt=M_Monat)*H_tblBG%))</f>
        <v>8</v>
      </c>
      <c r="G20" s="26" cm="1">
        <f t="array" ref="G20">IF(OR(G14=0,G54="x"),0,A_fldSollTagStd*SUMPRODUCT((H_tblBGTage=WEEKDAY(G16,2))*(H_tblBGMnt=M_Monat)*H_tblBG%))</f>
        <v>8</v>
      </c>
      <c r="H20" s="26" cm="1">
        <f t="array" ref="H20">IF(OR(H14=0,H54="x"),0,A_fldSollTagStd*SUMPRODUCT((H_tblBGTage=WEEKDAY(H16,2))*(H_tblBGMnt=M_Monat)*H_tblBG%))</f>
        <v>0</v>
      </c>
      <c r="I20" s="26" cm="1">
        <f t="array" ref="I20">IF(OR(I14=0,I54="x"),0,A_fldSollTagStd*SUMPRODUCT((H_tblBGTage=WEEKDAY(I16,2))*(H_tblBGMnt=M_Monat)*H_tblBG%))</f>
        <v>0</v>
      </c>
      <c r="J20" s="26" cm="1">
        <f t="array" ref="J20">IF(OR(J14=0,J54="x"),0,A_fldSollTagStd*SUMPRODUCT((H_tblBGTage=WEEKDAY(J16,2))*(H_tblBGMnt=M_Monat)*H_tblBG%))</f>
        <v>8</v>
      </c>
      <c r="K20" s="26" cm="1">
        <f t="array" ref="K20">IF(OR(K14=0,K54="x"),0,A_fldSollTagStd*SUMPRODUCT((H_tblBGTage=WEEKDAY(K16,2))*(H_tblBGMnt=M_Monat)*H_tblBG%))</f>
        <v>8</v>
      </c>
      <c r="L20" s="26" cm="1">
        <f t="array" ref="L20">IF(OR(L14=0,L54="x"),0,A_fldSollTagStd*SUMPRODUCT((H_tblBGTage=WEEKDAY(L16,2))*(H_tblBGMnt=M_Monat)*H_tblBG%))</f>
        <v>8</v>
      </c>
      <c r="M20" s="26" cm="1">
        <f t="array" ref="M20">IF(OR(M14=0,M54="x"),0,A_fldSollTagStd*SUMPRODUCT((H_tblBGTage=WEEKDAY(M16,2))*(H_tblBGMnt=M_Monat)*H_tblBG%))</f>
        <v>8</v>
      </c>
      <c r="N20" s="26" cm="1">
        <f t="array" ref="N20">IF(OR(N14=0,N54="x"),0,A_fldSollTagStd*SUMPRODUCT((H_tblBGTage=WEEKDAY(N16,2))*(H_tblBGMnt=M_Monat)*H_tblBG%))</f>
        <v>8</v>
      </c>
      <c r="O20" s="26" cm="1">
        <f t="array" ref="O20">IF(OR(O14=0,O54="x"),0,A_fldSollTagStd*SUMPRODUCT((H_tblBGTage=WEEKDAY(O16,2))*(H_tblBGMnt=M_Monat)*H_tblBG%))</f>
        <v>0</v>
      </c>
      <c r="P20" s="26" cm="1">
        <f t="array" ref="P20">IF(OR(P14=0,P54="x"),0,A_fldSollTagStd*SUMPRODUCT((H_tblBGTage=WEEKDAY(P16,2))*(H_tblBGMnt=M_Monat)*H_tblBG%))</f>
        <v>0</v>
      </c>
      <c r="Q20" s="26" cm="1">
        <f t="array" ref="Q20">IF(OR(Q14=0,Q54="x"),0,A_fldSollTagStd*SUMPRODUCT((H_tblBGTage=WEEKDAY(Q16,2))*(H_tblBGMnt=M_Monat)*H_tblBG%))</f>
        <v>8</v>
      </c>
      <c r="R20" s="26" cm="1">
        <f t="array" ref="R20">IF(OR(R14=0,R54="x"),0,A_fldSollTagStd*SUMPRODUCT((H_tblBGTage=WEEKDAY(R16,2))*(H_tblBGMnt=M_Monat)*H_tblBG%))</f>
        <v>8</v>
      </c>
      <c r="S20" s="26" cm="1">
        <f t="array" ref="S20">IF(OR(S14=0,S54="x"),0,A_fldSollTagStd*SUMPRODUCT((H_tblBGTage=WEEKDAY(S16,2))*(H_tblBGMnt=M_Monat)*H_tblBG%))</f>
        <v>8</v>
      </c>
      <c r="T20" s="26" cm="1">
        <f t="array" ref="T20">IF(OR(T14=0,T54="x"),0,A_fldSollTagStd*SUMPRODUCT((H_tblBGTage=WEEKDAY(T16,2))*(H_tblBGMnt=M_Monat)*H_tblBG%))</f>
        <v>8</v>
      </c>
      <c r="U20" s="26" cm="1">
        <f t="array" ref="U20">IF(OR(U14=0,U54="x"),0,A_fldSollTagStd*SUMPRODUCT((H_tblBGTage=WEEKDAY(U16,2))*(H_tblBGMnt=M_Monat)*H_tblBG%))</f>
        <v>8</v>
      </c>
      <c r="V20" s="26" cm="1">
        <f t="array" ref="V20">IF(OR(V14=0,V54="x"),0,A_fldSollTagStd*SUMPRODUCT((H_tblBGTage=WEEKDAY(V16,2))*(H_tblBGMnt=M_Monat)*H_tblBG%))</f>
        <v>0</v>
      </c>
      <c r="W20" s="26" cm="1">
        <f t="array" ref="W20">IF(OR(W14=0,W54="x"),0,A_fldSollTagStd*SUMPRODUCT((H_tblBGTage=WEEKDAY(W16,2))*(H_tblBGMnt=M_Monat)*H_tblBG%))</f>
        <v>0</v>
      </c>
      <c r="X20" s="26" cm="1">
        <f t="array" ref="X20">IF(OR(X14=0,X54="x"),0,A_fldSollTagStd*SUMPRODUCT((H_tblBGTage=WEEKDAY(X16,2))*(H_tblBGMnt=M_Monat)*H_tblBG%))</f>
        <v>8</v>
      </c>
      <c r="Y20" s="26" cm="1">
        <f t="array" ref="Y20">IF(OR(Y14=0,Y54="x"),0,A_fldSollTagStd*SUMPRODUCT((H_tblBGTage=WEEKDAY(Y16,2))*(H_tblBGMnt=M_Monat)*H_tblBG%))</f>
        <v>8</v>
      </c>
      <c r="Z20" s="26" cm="1">
        <f t="array" ref="Z20">IF(OR(Z14=0,Z54="x"),0,A_fldSollTagStd*SUMPRODUCT((H_tblBGTage=WEEKDAY(Z16,2))*(H_tblBGMnt=M_Monat)*H_tblBG%))</f>
        <v>8</v>
      </c>
      <c r="AA20" s="26" cm="1">
        <f t="array" ref="AA20">IF(OR(AA14=0,AA54="x"),0,A_fldSollTagStd*SUMPRODUCT((H_tblBGTage=WEEKDAY(AA16,2))*(H_tblBGMnt=M_Monat)*H_tblBG%))</f>
        <v>8</v>
      </c>
      <c r="AB20" s="26" cm="1">
        <f t="array" ref="AB20">IF(OR(AB14=0,AB54="x"),0,A_fldSollTagStd*SUMPRODUCT((H_tblBGTage=WEEKDAY(AB16,2))*(H_tblBGMnt=M_Monat)*H_tblBG%))</f>
        <v>8</v>
      </c>
      <c r="AC20" s="26" cm="1">
        <f t="array" ref="AC20">IF(OR(AC14=0,AC54="x"),0,A_fldSollTagStd*SUMPRODUCT((H_tblBGTage=WEEKDAY(AC16,2))*(H_tblBGMnt=M_Monat)*H_tblBG%))</f>
        <v>0</v>
      </c>
      <c r="AD20" s="26" cm="1">
        <f t="array" ref="AD20">IF(OR(AD14=0,AD54="x"),0,A_fldSollTagStd*SUMPRODUCT((H_tblBGTage=WEEKDAY(AD16,2))*(H_tblBGMnt=M_Monat)*H_tblBG%))</f>
        <v>0</v>
      </c>
      <c r="AE20" s="26" cm="1">
        <f t="array" ref="AE20">IF(OR(AE14=0,AE54="x"),0,A_fldSollTagStd*SUMPRODUCT((H_tblBGTage=WEEKDAY(AE16,2))*(H_tblBGMnt=M_Monat)*H_tblBG%))</f>
        <v>8</v>
      </c>
      <c r="AF20" s="26" cm="1">
        <f t="array" ref="AF20">IF(OR(AF14=0,AF54="x"),0,A_fldSollTagStd*SUMPRODUCT((H_tblBGTage=WEEKDAY(AF16,2))*(H_tblBGMnt=M_Monat)*H_tblBG%))</f>
        <v>8</v>
      </c>
      <c r="AG20" s="26" cm="1">
        <f t="array" ref="AG20">IF(OR(AG14=0,AG54="x"),0,A_fldSollTagStd*SUMPRODUCT((H_tblBGTage=WEEKDAY(AG16,2))*(H_tblBGMnt=M_Monat)*H_tblBG%))</f>
        <v>8</v>
      </c>
      <c r="AH20" s="26" cm="1">
        <f t="array" ref="AH20">IF(OR(AH14=0,AH54="x"),0,A_fldSollTagStd*SUMPRODUCT((H_tblBGTage=WEEKDAY(AH16,2))*(H_tblBGMnt=M_Monat)*H_tblBG%))</f>
        <v>8</v>
      </c>
      <c r="AI20" s="199" cm="1">
        <f t="array" ref="AI20">IF(OR(AI14=0,AI54="x"),0,A_fldSollTagStd*SUMPRODUCT((H_tblBGTage=WEEKDAY(AI16,2))*(H_tblBGMnt=M_Monat)*H_tblBG%))</f>
        <v>8</v>
      </c>
      <c r="AJ20" s="199" cm="1">
        <f t="array" ref="AJ20">IF(OR(AJ14=0,AJ54="x"),0,A_fldSollTagStd*SUMPRODUCT((H_tblBGTage=WEEKDAY(AJ16,2))*(H_tblBGMnt=M_Monat)*H_tblBG%))</f>
        <v>0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jours fériés</v>
      </c>
      <c r="E21" s="20"/>
      <c r="F21" s="195" t="str" cm="1">
        <f t="array" ref="F21">INDEX(H_Calendar!$K$10:$K$375,MATCH(1,INDEX((H_Calendar!$E$10:$E$375=M_Monat)*(H_Calendar!$H$10:$H$375=DAY(F$18)),0,1),0))</f>
        <v/>
      </c>
      <c r="G21" s="195" t="str" cm="1">
        <f t="array" ref="G21">INDEX(H_Calendar!$K$10:$K$375,MATCH(1,INDEX((H_Calendar!$E$10:$E$375=M_Monat)*(H_Calendar!$H$10:$H$375=DAY(G$18)),0,1),0))</f>
        <v/>
      </c>
      <c r="H21" s="195" t="str" cm="1">
        <f t="array" ref="H21">INDEX(H_Calendar!$K$10:$K$375,MATCH(1,INDEX((H_Calendar!$E$10:$E$375=M_Monat)*(H_Calendar!$H$10:$H$375=DAY(H$18)),0,1),0))</f>
        <v/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/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/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/>
      </c>
      <c r="AD21" s="195" t="str" cm="1">
        <f t="array" ref="AD21">INDEX(H_Calendar!$K$10:$K$375,MATCH(1,INDEX((H_Calendar!$E$10:$E$375=M_Monat)*(H_Calendar!$H$10:$H$375=DAY(AD$18)),0,1),0))</f>
        <v/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0</v>
      </c>
      <c r="AM21" s="320">
        <f>COUNTIF(F21:AJ21,"ft")</f>
        <v>0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heures productives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x14ac:dyDescent="0.2">
      <c r="A25" s="252"/>
      <c r="B25" s="438"/>
      <c r="C25" s="252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customHeight="1" x14ac:dyDescent="0.2">
      <c r="A26" s="252"/>
      <c r="B26" s="438"/>
      <c r="C26" s="252">
        <v>4</v>
      </c>
      <c r="D26" s="606" t="str">
        <f>H_Label!B313</f>
        <v>temps de trajet (total)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déduction de temps de trajet = 0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total journalier y c. temp de trajet payé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total hebdomadaire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9" s="143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9" s="144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0</v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crédits et majorations</v>
      </c>
      <c r="E30" s="87"/>
      <c r="F30" s="145" t="str">
        <f>H_Label!B264</f>
        <v>1)  25% majoration temporelle pour depassement les heures maximales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majoration temporelle pour travail de nuit</v>
      </c>
      <c r="Q30" s="145"/>
      <c r="R30" s="145"/>
      <c r="S30" s="145"/>
      <c r="T30" s="145"/>
      <c r="U30" s="145"/>
      <c r="V30" s="145"/>
      <c r="W30" s="145" t="str">
        <f>H_Label!B266</f>
        <v>3) 100% majoration temporelle pour travail du dimanche et jour férié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Majoration  "jf"</v>
      </c>
      <c r="E31" s="23"/>
      <c r="F31" s="24">
        <f t="shared" ref="F31:AG31" si="8">IF(F21="ft",F20,0)</f>
        <v>0</v>
      </c>
      <c r="G31" s="24">
        <f t="shared" si="8"/>
        <v>0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0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0</v>
      </c>
      <c r="AD31" s="24">
        <f t="shared" si="8"/>
        <v>0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0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Majorations temp.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/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/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Majorations temp.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Majorations temp.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>
        <f>H_Label!B273</f>
        <v>0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vacances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compensation année passée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42" si="11">SUM(F37:AJ37)</f>
        <v>0</v>
      </c>
      <c r="AM37" s="292">
        <f t="shared" ref="AM37:AM42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compensation année en cours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absences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maladie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accident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absences de grossesse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Congé de maternité/paternité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militaire/promotion/protection civile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ref="AL44:AL50" si="13">SUM(F44:AJ44)</f>
        <v>0</v>
      </c>
      <c r="AM44" s="292">
        <f t="shared" ref="AM44:AM50" si="14">COUNT(F44:AJ44)</f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école professionelle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3"/>
        <v>0</v>
      </c>
      <c r="AM45" s="292">
        <f t="shared" si="14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cours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3"/>
        <v>0</v>
      </c>
      <c r="AM46" s="292">
        <f t="shared" si="14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chômage partiel et intempéries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3"/>
        <v>0</v>
      </c>
      <c r="AM47" s="292">
        <f t="shared" si="14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arrêts définis par l'entreprise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3"/>
        <v>0</v>
      </c>
      <c r="AM48" s="292">
        <f t="shared" si="14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vacances non payées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3"/>
        <v>0</v>
      </c>
      <c r="AM49" s="292">
        <f t="shared" si="14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heures manquantes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3"/>
        <v>0</v>
      </c>
      <c r="AM50" s="292">
        <f t="shared" si="14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heures inproductives totales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5">ROUND(SUM(H39:H48),4)</f>
        <v>0</v>
      </c>
      <c r="I51" s="433">
        <f t="shared" si="15"/>
        <v>0</v>
      </c>
      <c r="J51" s="433">
        <f t="shared" si="15"/>
        <v>0</v>
      </c>
      <c r="K51" s="433">
        <f t="shared" si="15"/>
        <v>0</v>
      </c>
      <c r="L51" s="433">
        <f t="shared" si="15"/>
        <v>0</v>
      </c>
      <c r="M51" s="433">
        <f t="shared" si="15"/>
        <v>0</v>
      </c>
      <c r="N51" s="433">
        <f t="shared" si="15"/>
        <v>0</v>
      </c>
      <c r="O51" s="433">
        <f t="shared" si="15"/>
        <v>0</v>
      </c>
      <c r="P51" s="433">
        <f t="shared" si="15"/>
        <v>0</v>
      </c>
      <c r="Q51" s="433">
        <f t="shared" si="15"/>
        <v>0</v>
      </c>
      <c r="R51" s="433">
        <f t="shared" si="15"/>
        <v>0</v>
      </c>
      <c r="S51" s="433">
        <f t="shared" si="15"/>
        <v>0</v>
      </c>
      <c r="T51" s="433">
        <f t="shared" si="15"/>
        <v>0</v>
      </c>
      <c r="U51" s="433">
        <f t="shared" si="15"/>
        <v>0</v>
      </c>
      <c r="V51" s="433">
        <f t="shared" si="15"/>
        <v>0</v>
      </c>
      <c r="W51" s="433">
        <f t="shared" si="15"/>
        <v>0</v>
      </c>
      <c r="X51" s="433">
        <f t="shared" si="15"/>
        <v>0</v>
      </c>
      <c r="Y51" s="433">
        <f t="shared" si="15"/>
        <v>0</v>
      </c>
      <c r="Z51" s="433">
        <f t="shared" si="15"/>
        <v>0</v>
      </c>
      <c r="AA51" s="433">
        <f t="shared" si="15"/>
        <v>0</v>
      </c>
      <c r="AB51" s="433">
        <f t="shared" si="15"/>
        <v>0</v>
      </c>
      <c r="AC51" s="433">
        <f t="shared" si="15"/>
        <v>0</v>
      </c>
      <c r="AD51" s="433">
        <f t="shared" si="15"/>
        <v>0</v>
      </c>
      <c r="AE51" s="433">
        <f t="shared" si="15"/>
        <v>0</v>
      </c>
      <c r="AF51" s="433">
        <f t="shared" si="15"/>
        <v>0</v>
      </c>
      <c r="AG51" s="433">
        <f t="shared" si="15"/>
        <v>0</v>
      </c>
      <c r="AH51" s="433">
        <f t="shared" si="15"/>
        <v>0</v>
      </c>
      <c r="AI51" s="433">
        <f t="shared" si="15"/>
        <v>0</v>
      </c>
      <c r="AJ51" s="434">
        <f t="shared" si="15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contrôle et corrections</v>
      </c>
      <c r="E52" s="87"/>
      <c r="F52" s="146"/>
      <c r="G52" s="147" t="str">
        <f>H_Label!B292</f>
        <v>veuillez cocher les jours de correction avec "x"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jour de carence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exclure jour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22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corrections manuelles</v>
      </c>
      <c r="E56" s="149"/>
      <c r="F56" s="150" t="str">
        <f>H_Label!B298</f>
        <v>heures payées se année passée</v>
      </c>
      <c r="G56" s="150"/>
      <c r="H56" s="150"/>
      <c r="I56" s="150"/>
      <c r="J56" s="150"/>
      <c r="K56" s="835"/>
      <c r="L56" s="836"/>
      <c r="M56" s="837"/>
      <c r="N56" s="148"/>
      <c r="O56" s="148"/>
      <c r="P56" s="150" t="str">
        <f>H_Label!B299</f>
        <v>heures payées année en cours (heures supplémentaires)</v>
      </c>
      <c r="Q56" s="148"/>
      <c r="R56" s="148"/>
      <c r="S56" s="148"/>
      <c r="T56" s="148"/>
      <c r="U56" s="148"/>
      <c r="V56" s="148"/>
      <c r="W56" s="835"/>
      <c r="X56" s="836"/>
      <c r="Y56" s="837"/>
      <c r="Z56" s="148"/>
      <c r="AA56" s="150"/>
      <c r="AB56" s="148"/>
      <c r="AC56" s="148"/>
      <c r="AD56" s="150" t="str">
        <f>H_Label!B300</f>
        <v>vacances avoir / déduction</v>
      </c>
      <c r="AE56" s="150"/>
      <c r="AF56" s="150"/>
      <c r="AG56" s="150"/>
      <c r="AH56" s="835"/>
      <c r="AI56" s="836"/>
      <c r="AJ56" s="837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remarques</v>
      </c>
      <c r="E58" s="152"/>
      <c r="F58" s="814"/>
      <c r="G58" s="815"/>
      <c r="H58" s="815"/>
      <c r="I58" s="815"/>
      <c r="J58" s="815"/>
      <c r="K58" s="815"/>
      <c r="L58" s="815"/>
      <c r="M58" s="815"/>
      <c r="N58" s="815"/>
      <c r="O58" s="815"/>
      <c r="P58" s="815"/>
      <c r="Q58" s="815"/>
      <c r="R58" s="815"/>
      <c r="S58" s="815"/>
      <c r="T58" s="815"/>
      <c r="U58" s="815"/>
      <c r="V58" s="815"/>
      <c r="W58" s="815"/>
      <c r="X58" s="815"/>
      <c r="Y58" s="815"/>
      <c r="Z58" s="815"/>
      <c r="AA58" s="815"/>
      <c r="AB58" s="815"/>
      <c r="AC58" s="815"/>
      <c r="AD58" s="815"/>
      <c r="AE58" s="815"/>
      <c r="AF58" s="815"/>
      <c r="AG58" s="815"/>
      <c r="AH58" s="815"/>
      <c r="AI58" s="815"/>
      <c r="AJ58" s="816"/>
      <c r="AK58" s="396"/>
    </row>
    <row r="59" spans="1:46" ht="12" customHeight="1" x14ac:dyDescent="0.25">
      <c r="D59" s="153"/>
      <c r="E59" s="153"/>
      <c r="F59" s="817"/>
      <c r="G59" s="818"/>
      <c r="H59" s="818"/>
      <c r="I59" s="818"/>
      <c r="J59" s="818"/>
      <c r="K59" s="818"/>
      <c r="L59" s="818"/>
      <c r="M59" s="818"/>
      <c r="N59" s="818"/>
      <c r="O59" s="818"/>
      <c r="P59" s="818"/>
      <c r="Q59" s="818"/>
      <c r="R59" s="818"/>
      <c r="S59" s="818"/>
      <c r="T59" s="818"/>
      <c r="U59" s="818"/>
      <c r="V59" s="818"/>
      <c r="W59" s="818"/>
      <c r="X59" s="818"/>
      <c r="Y59" s="818"/>
      <c r="Z59" s="818"/>
      <c r="AA59" s="818"/>
      <c r="AB59" s="818"/>
      <c r="AC59" s="818"/>
      <c r="AD59" s="818"/>
      <c r="AE59" s="818"/>
      <c r="AF59" s="818"/>
      <c r="AG59" s="818"/>
      <c r="AH59" s="818"/>
      <c r="AI59" s="818"/>
      <c r="AJ59" s="819"/>
      <c r="AK59" s="396"/>
    </row>
    <row r="60" spans="1:46" ht="12" customHeight="1" x14ac:dyDescent="0.25">
      <c r="D60" s="154"/>
      <c r="E60" s="154"/>
      <c r="F60" s="832"/>
      <c r="G60" s="833"/>
      <c r="H60" s="833"/>
      <c r="I60" s="833"/>
      <c r="J60" s="833"/>
      <c r="K60" s="833"/>
      <c r="L60" s="833"/>
      <c r="M60" s="833"/>
      <c r="N60" s="833"/>
      <c r="O60" s="833"/>
      <c r="P60" s="833"/>
      <c r="Q60" s="833"/>
      <c r="R60" s="833"/>
      <c r="S60" s="833"/>
      <c r="T60" s="833"/>
      <c r="U60" s="833"/>
      <c r="V60" s="833"/>
      <c r="W60" s="833"/>
      <c r="X60" s="833"/>
      <c r="Y60" s="833"/>
      <c r="Z60" s="833"/>
      <c r="AA60" s="833"/>
      <c r="AB60" s="833"/>
      <c r="AC60" s="833"/>
      <c r="AD60" s="833"/>
      <c r="AE60" s="833"/>
      <c r="AF60" s="833"/>
      <c r="AG60" s="833"/>
      <c r="AH60" s="833"/>
      <c r="AI60" s="833"/>
      <c r="AJ60" s="834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J'ai contrôlé les comptes mensuels et vérifié leur exactitude.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09"/>
      <c r="G63" s="809"/>
      <c r="H63" s="809"/>
      <c r="I63" s="809"/>
      <c r="J63" s="809"/>
      <c r="K63" s="809"/>
      <c r="L63" s="809"/>
      <c r="M63" s="809"/>
      <c r="V63" s="809"/>
      <c r="W63" s="809"/>
      <c r="X63" s="809"/>
      <c r="Y63" s="809"/>
      <c r="Z63" s="809"/>
      <c r="AA63" s="809"/>
      <c r="AB63" s="809"/>
      <c r="AC63" s="809"/>
      <c r="AH63" s="809"/>
      <c r="AI63" s="809"/>
      <c r="AJ63" s="809"/>
    </row>
    <row r="64" spans="1:46" ht="15.75" x14ac:dyDescent="0.25">
      <c r="D64" s="156" t="str">
        <f>H_Label!B306</f>
        <v>visa employé</v>
      </c>
      <c r="E64" s="156"/>
      <c r="F64" s="810"/>
      <c r="G64" s="810"/>
      <c r="H64" s="810"/>
      <c r="I64" s="810"/>
      <c r="J64" s="810"/>
      <c r="K64" s="810"/>
      <c r="L64" s="810"/>
      <c r="M64" s="810"/>
      <c r="N64" s="156"/>
      <c r="O64" s="148"/>
      <c r="P64" s="156" t="str">
        <f>H_Label!B307</f>
        <v>visa supérieur hiérarchique</v>
      </c>
      <c r="Q64" s="148"/>
      <c r="R64" s="15"/>
      <c r="S64" s="156"/>
      <c r="T64" s="156"/>
      <c r="U64" s="156"/>
      <c r="V64" s="810"/>
      <c r="W64" s="810"/>
      <c r="X64" s="810"/>
      <c r="Y64" s="810"/>
      <c r="Z64" s="810"/>
      <c r="AA64" s="810"/>
      <c r="AB64" s="810"/>
      <c r="AC64" s="810"/>
      <c r="AD64" s="148"/>
      <c r="AE64" s="15"/>
      <c r="AF64" s="156" t="str">
        <f>H_Label!B308</f>
        <v>date</v>
      </c>
      <c r="AG64" s="15"/>
      <c r="AH64" s="810"/>
      <c r="AI64" s="810"/>
      <c r="AJ64" s="810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5j1dXY3Tdxz2tLkHb82vLpAAh+frqOIu3S6I1g6JPoZagsacb1/Ega4IYrDNLo/ILRLqBLEZdOyqFw2vxnbEWg==" saltValue="pS0uBZa4sraA8aldL3m4EQ==" spinCount="100000" sheet="1" objects="1" scenarios="1"/>
  <mergeCells count="23">
    <mergeCell ref="F63:M64"/>
    <mergeCell ref="V63:AC64"/>
    <mergeCell ref="AH63:AJ64"/>
    <mergeCell ref="K56:M56"/>
    <mergeCell ref="W56:Y56"/>
    <mergeCell ref="AH56:AJ56"/>
    <mergeCell ref="F58:AJ58"/>
    <mergeCell ref="F59:AJ59"/>
    <mergeCell ref="F60:AJ60"/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</mergeCells>
  <conditionalFormatting sqref="D37:AJ37">
    <cfRule type="expression" dxfId="62" priority="14">
      <formula>AND(M_Monat&gt;4,M_Monat&lt;10)</formula>
    </cfRule>
    <cfRule type="expression" dxfId="61" priority="15">
      <formula>M_Monat&gt;=10</formula>
    </cfRule>
  </conditionalFormatting>
  <conditionalFormatting sqref="E15:AK15">
    <cfRule type="expression" dxfId="60" priority="9">
      <formula>E$15=2</formula>
    </cfRule>
  </conditionalFormatting>
  <conditionalFormatting sqref="F17:AJ17">
    <cfRule type="expression" dxfId="59" priority="12">
      <formula>OR(AND(DAY(F$16)&lt;&gt;1,WEEKDAY(F$16,2)&lt;&gt;1),F$14=0)</formula>
    </cfRule>
    <cfRule type="expression" dxfId="58" priority="13">
      <formula>OR(F$15=2,AND(F$14=1,WEEKDAY(F$16,2)=7))</formula>
    </cfRule>
  </conditionalFormatting>
  <conditionalFormatting sqref="F18:AJ21 F23:AJ28 F31:AJ31 F33:AJ34 F36:AJ51 F53:AJ54">
    <cfRule type="expression" dxfId="57" priority="17">
      <formula>F$21="ft"</formula>
    </cfRule>
  </conditionalFormatting>
  <conditionalFormatting sqref="F18:AJ21 F23:AJ29 F31:AJ34 F36:AJ51 F53:AJ54">
    <cfRule type="expression" dxfId="56" priority="8">
      <formula>AND(F$14=0,$B18=0)</formula>
    </cfRule>
  </conditionalFormatting>
  <conditionalFormatting sqref="F28:AJ29 F32:AJ32">
    <cfRule type="expression" dxfId="55" priority="10">
      <formula>OR(WEEKDAY(F$16,2)=7,F$15=2)</formula>
    </cfRule>
  </conditionalFormatting>
  <conditionalFormatting sqref="F36:AJ51 F53:AJ54 F18:AJ21 F23:AJ28 F31:AJ31 F33:AJ34">
    <cfRule type="expression" dxfId="54" priority="16">
      <formula>WEEKDAY(F$18,2)=7</formula>
    </cfRule>
    <cfRule type="expression" dxfId="53" priority="18">
      <formula>WEEKDAY(F$18,2)=6</formula>
    </cfRule>
  </conditionalFormatting>
  <conditionalFormatting sqref="F53:AJ54">
    <cfRule type="containsText" dxfId="52" priority="11" operator="containsText" text="x">
      <formula>NOT(ISERROR(SEARCH("x",F53)))</formula>
    </cfRule>
  </conditionalFormatting>
  <conditionalFormatting sqref="J3:L3">
    <cfRule type="expression" dxfId="51" priority="1">
      <formula>B_fldSaldoVJ=0</formula>
    </cfRule>
  </conditionalFormatting>
  <conditionalFormatting sqref="AB3:AD3">
    <cfRule type="expression" dxfId="48" priority="2">
      <formula>H_fldFerienEndSaldo&lt;0</formula>
    </cfRule>
  </conditionalFormatting>
  <conditionalFormatting sqref="AG18:AJ21 AG23:AJ29 AG31:AJ34 AG36:AJ51 AG53:AJ54">
    <cfRule type="expression" dxfId="47" priority="6">
      <formula>AND(AG$14=0,$B18&lt;&gt;0)</formula>
    </cfRule>
    <cfRule type="expression" dxfId="46" priority="7">
      <formula>AG$15=2</formula>
    </cfRule>
  </conditionalFormatting>
  <conditionalFormatting sqref="AJ17:AJ21 AJ23:AJ29 AJ31:AJ34 AJ36:AJ51 AJ53:AJ54">
    <cfRule type="expression" dxfId="45" priority="5">
      <formula>AK$15="m"</formula>
    </cfRule>
  </conditionalFormatting>
  <dataValidations count="11"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6AF7F4B0-2B4C-4FCD-B6DF-E33BA164AC6C}">
      <formula1>-4000</formula1>
      <formula2>24</formula2>
    </dataValidation>
    <dataValidation type="custom" operator="greaterThanOrEqual" showErrorMessage="1" errorTitle="Karenztag" error="Zuerst Stunden im Feld &quot;Krankheit&quot; erfassen!" sqref="F53:AJ53" xr:uid="{A206FF3C-24D2-42E0-8691-833C10E222FB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2976D071-B0C4-4CB0-BDB5-181A6D9B35C1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AE9676A1-340C-434C-B2A7-961070D751AC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BC13DFA3-85D0-4780-8846-FDC726CDDD46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09AE7B70-8D83-405E-B5DC-DF649AAA0FCC}"/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D1CAB486-580B-46CB-B329-A1D39DC020E7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DFEA5A47-B2DB-4F6F-B8F9-D51377841115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AF926DE3-841C-46A7-8258-E505674C4E7C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0997E243-08A7-4042-9C7C-FE81C3A34243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9:AK50" xr:uid="{B7B8D296-69E5-42D1-8A49-74005DED83F4}">
      <formula1>-4000</formula1>
    </dataValidation>
  </dataValidations>
  <hyperlinks>
    <hyperlink ref="AJ12" location="Jahresauswertung!H3" display="." xr:uid="{210ACF4A-AEB9-419D-8C4D-92BE12D556C2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FC242CE-3115-4D71-90E7-B6CB69F6A293}">
            <xm:f>'report annuel'!$X$34=0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B8DE5438-9716-4351-AF42-C91D815C8341}">
            <xm:f>'report annuel'!$X$34&lt;0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53723-A2EB-46B8-BA2D-F27AD8BBE87C}">
  <sheetPr codeName="ts11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"/>
      <selection pane="bottomLeft" activeCell="R27" sqref="R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13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13"/>
      <c r="F3" s="550" t="str">
        <f>H_Label!B32</f>
        <v>heures année passée</v>
      </c>
      <c r="G3" s="551"/>
      <c r="H3" s="551"/>
      <c r="I3" s="551"/>
      <c r="J3" s="812" t="str">
        <f>TEXT('report annuel'!$X$34,"0.00")&amp;" / "&amp;TEXT(B_fldSaldoVJ,"0.00")</f>
        <v>0.00 / 0.00</v>
      </c>
      <c r="K3" s="812"/>
      <c r="L3" s="812"/>
      <c r="M3" s="552"/>
      <c r="N3" s="552"/>
      <c r="O3" s="550" t="str">
        <f>H_Label!B33</f>
        <v>heures année en cours</v>
      </c>
      <c r="P3" s="551"/>
      <c r="Q3" s="551"/>
      <c r="R3" s="551"/>
      <c r="S3" s="551"/>
      <c r="T3" s="831">
        <f>'report annuel'!$AD$43</f>
        <v>-2016</v>
      </c>
      <c r="U3" s="831"/>
      <c r="V3" s="831"/>
      <c r="W3" s="552"/>
      <c r="X3" s="552"/>
      <c r="Y3" s="550" t="str">
        <f>H_Label!B34</f>
        <v>se des vacences</v>
      </c>
      <c r="Z3" s="551"/>
      <c r="AA3" s="551"/>
      <c r="AB3" s="812" t="str">
        <f ca="1">TEXT(H_fldFerienEndSaldo,"0.00")&amp;" / "&amp;TEXT(H_fldFerienSaldoKORR,"0.00")</f>
        <v>176.00 / 176.00</v>
      </c>
      <c r="AC3" s="812"/>
      <c r="AD3" s="812"/>
      <c r="AF3" s="148"/>
      <c r="AG3" s="148"/>
      <c r="AH3" s="148"/>
      <c r="AI3" s="148"/>
      <c r="AJ3" s="148"/>
    </row>
    <row r="4" spans="1:46" ht="13.5" customHeight="1" x14ac:dyDescent="0.25">
      <c r="D4" s="813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taux d'occupation réel</v>
      </c>
      <c r="AH5" s="527"/>
      <c r="AI5" s="830">
        <f>AN54</f>
        <v>1</v>
      </c>
      <c r="AJ5" s="830"/>
      <c r="AK5" s="388"/>
    </row>
    <row r="6" spans="1:46" ht="27.95" customHeight="1" x14ac:dyDescent="0.25">
      <c r="D6" s="174" t="str">
        <f>H_Label!$B$221 &amp;" "&amp;TEXT('fiche du personnel'!$U$1,"JJJJ")</f>
        <v>Contrôle des heures de travail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28" t="str">
        <f>'fiche du personnel'!$G$3</f>
        <v>Peinture Exemple SA</v>
      </c>
      <c r="Z6" s="828"/>
      <c r="AA6" s="828"/>
      <c r="AB6" s="828"/>
      <c r="AC6" s="828"/>
      <c r="AD6" s="828"/>
      <c r="AE6" s="828"/>
      <c r="AF6" s="828"/>
      <c r="AG6" s="828"/>
      <c r="AH6" s="828"/>
      <c r="AI6" s="828"/>
      <c r="AJ6" s="829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employé</v>
      </c>
      <c r="E8" s="31"/>
      <c r="F8" s="820" t="str">
        <f>'fiche du personnel'!$G$6</f>
        <v>Martin Dupont</v>
      </c>
      <c r="G8" s="821"/>
      <c r="H8" s="821"/>
      <c r="I8" s="821"/>
      <c r="J8" s="821"/>
      <c r="K8" s="822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occupation (%)</v>
      </c>
      <c r="E9" s="374"/>
      <c r="F9" s="823" cm="1">
        <f t="array" ref="F9">SUMPRODUCT((H_tblBGMnt=M_Monat)*H_tblBGavg)</f>
        <v>100</v>
      </c>
      <c r="G9" s="824"/>
      <c r="H9" s="825" t="str">
        <f>H_Label!B224&amp;" "&amp;D12</f>
        <v>en novembre</v>
      </c>
      <c r="I9" s="826"/>
      <c r="J9" s="826"/>
      <c r="K9" s="827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se pour l'année</v>
      </c>
      <c r="E10" s="89"/>
      <c r="F10" s="838">
        <f>DATE(A_Jahr,AM13,1)</f>
        <v>46327</v>
      </c>
      <c r="G10" s="839"/>
      <c r="H10" s="840">
        <f>'report annuel'!AF42</f>
        <v>-2016</v>
      </c>
      <c r="I10" s="841"/>
      <c r="J10" s="841"/>
      <c r="K10" s="842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11" t="s">
        <v>501</v>
      </c>
      <c r="D12" s="494" t="str">
        <f>TEXT($F$10,"MMMM"&amp;H_Label!$B$23)</f>
        <v>novembre</v>
      </c>
      <c r="E12" s="375"/>
      <c r="F12" s="843" t="str">
        <f>H_Label!B231</f>
        <v>se mois + / -</v>
      </c>
      <c r="G12" s="844"/>
      <c r="H12" s="844"/>
      <c r="I12" s="845"/>
      <c r="J12" s="846" cm="1">
        <f t="array" ref="J12">INDEX(H_dMNTCurrentSaldo,1,M_Monat)</f>
        <v>-168</v>
      </c>
      <c r="K12" s="847"/>
      <c r="L12" s="157"/>
      <c r="M12" s="158"/>
      <c r="N12" s="202"/>
      <c r="O12" s="159" t="str">
        <f>H_Label!B240</f>
        <v xml:space="preserve"> = </v>
      </c>
      <c r="P12" s="151" t="str">
        <f>H_Label!B241</f>
        <v>seules les cases/champs jaunes sont saisissables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11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11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11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1</v>
      </c>
      <c r="AI14" s="410">
        <f t="shared" si="0"/>
        <v>1</v>
      </c>
      <c r="AJ14" s="411">
        <f t="shared" si="0"/>
        <v>0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11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3</v>
      </c>
      <c r="AH15" s="418">
        <f t="shared" si="1"/>
        <v>3</v>
      </c>
      <c r="AI15" s="418">
        <f t="shared" si="1"/>
        <v>2</v>
      </c>
      <c r="AJ15" s="419">
        <f t="shared" si="1"/>
        <v>1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46327</v>
      </c>
      <c r="G16" s="422">
        <f>F$16+1</f>
        <v>46328</v>
      </c>
      <c r="H16" s="422">
        <f t="shared" ref="H16:AJ16" si="2">G$16+1</f>
        <v>46329</v>
      </c>
      <c r="I16" s="422">
        <f t="shared" si="2"/>
        <v>46330</v>
      </c>
      <c r="J16" s="422">
        <f t="shared" si="2"/>
        <v>46331</v>
      </c>
      <c r="K16" s="422">
        <f t="shared" si="2"/>
        <v>46332</v>
      </c>
      <c r="L16" s="423">
        <f t="shared" si="2"/>
        <v>46333</v>
      </c>
      <c r="M16" s="423">
        <f t="shared" si="2"/>
        <v>46334</v>
      </c>
      <c r="N16" s="424">
        <f t="shared" si="2"/>
        <v>46335</v>
      </c>
      <c r="O16" s="425">
        <f t="shared" si="2"/>
        <v>46336</v>
      </c>
      <c r="P16" s="425">
        <f t="shared" si="2"/>
        <v>46337</v>
      </c>
      <c r="Q16" s="425">
        <f t="shared" si="2"/>
        <v>46338</v>
      </c>
      <c r="R16" s="425">
        <f t="shared" si="2"/>
        <v>46339</v>
      </c>
      <c r="S16" s="425">
        <f t="shared" si="2"/>
        <v>46340</v>
      </c>
      <c r="T16" s="425">
        <f t="shared" si="2"/>
        <v>46341</v>
      </c>
      <c r="U16" s="425">
        <f t="shared" si="2"/>
        <v>46342</v>
      </c>
      <c r="V16" s="425">
        <f t="shared" si="2"/>
        <v>46343</v>
      </c>
      <c r="W16" s="425">
        <f t="shared" si="2"/>
        <v>46344</v>
      </c>
      <c r="X16" s="425">
        <f t="shared" si="2"/>
        <v>46345</v>
      </c>
      <c r="Y16" s="425">
        <f t="shared" si="2"/>
        <v>46346</v>
      </c>
      <c r="Z16" s="425">
        <f t="shared" si="2"/>
        <v>46347</v>
      </c>
      <c r="AA16" s="425">
        <f t="shared" si="2"/>
        <v>46348</v>
      </c>
      <c r="AB16" s="425">
        <f t="shared" si="2"/>
        <v>46349</v>
      </c>
      <c r="AC16" s="425">
        <f t="shared" si="2"/>
        <v>46350</v>
      </c>
      <c r="AD16" s="425">
        <f t="shared" si="2"/>
        <v>46351</v>
      </c>
      <c r="AE16" s="425">
        <f t="shared" si="2"/>
        <v>46352</v>
      </c>
      <c r="AF16" s="426">
        <f t="shared" si="2"/>
        <v>46353</v>
      </c>
      <c r="AG16" s="426">
        <f t="shared" si="2"/>
        <v>46354</v>
      </c>
      <c r="AH16" s="426">
        <f t="shared" si="2"/>
        <v>46355</v>
      </c>
      <c r="AI16" s="426">
        <f t="shared" si="2"/>
        <v>46356</v>
      </c>
      <c r="AJ16" s="427">
        <f t="shared" si="2"/>
        <v>46357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semaine civile</v>
      </c>
      <c r="E17" s="291"/>
      <c r="F17" s="205">
        <f>WEEKNUM(F$16,21)</f>
        <v>44</v>
      </c>
      <c r="G17" s="203">
        <f t="shared" ref="G17:AJ17" si="3">WEEKNUM(G$16,21)</f>
        <v>45</v>
      </c>
      <c r="H17" s="203">
        <f t="shared" si="3"/>
        <v>45</v>
      </c>
      <c r="I17" s="203">
        <f t="shared" si="3"/>
        <v>45</v>
      </c>
      <c r="J17" s="203">
        <f t="shared" si="3"/>
        <v>45</v>
      </c>
      <c r="K17" s="203">
        <f t="shared" si="3"/>
        <v>45</v>
      </c>
      <c r="L17" s="203">
        <f t="shared" si="3"/>
        <v>45</v>
      </c>
      <c r="M17" s="203">
        <f t="shared" si="3"/>
        <v>45</v>
      </c>
      <c r="N17" s="203">
        <f t="shared" si="3"/>
        <v>46</v>
      </c>
      <c r="O17" s="203">
        <f t="shared" si="3"/>
        <v>46</v>
      </c>
      <c r="P17" s="203">
        <f t="shared" si="3"/>
        <v>46</v>
      </c>
      <c r="Q17" s="203">
        <f t="shared" si="3"/>
        <v>46</v>
      </c>
      <c r="R17" s="203">
        <f t="shared" si="3"/>
        <v>46</v>
      </c>
      <c r="S17" s="203">
        <f t="shared" si="3"/>
        <v>46</v>
      </c>
      <c r="T17" s="203">
        <f t="shared" si="3"/>
        <v>46</v>
      </c>
      <c r="U17" s="203">
        <f t="shared" si="3"/>
        <v>47</v>
      </c>
      <c r="V17" s="203">
        <f t="shared" si="3"/>
        <v>47</v>
      </c>
      <c r="W17" s="203">
        <f t="shared" si="3"/>
        <v>47</v>
      </c>
      <c r="X17" s="203">
        <f t="shared" si="3"/>
        <v>47</v>
      </c>
      <c r="Y17" s="203">
        <f t="shared" si="3"/>
        <v>47</v>
      </c>
      <c r="Z17" s="203">
        <f t="shared" si="3"/>
        <v>47</v>
      </c>
      <c r="AA17" s="203">
        <f t="shared" si="3"/>
        <v>47</v>
      </c>
      <c r="AB17" s="203">
        <f t="shared" si="3"/>
        <v>48</v>
      </c>
      <c r="AC17" s="203">
        <f t="shared" si="3"/>
        <v>48</v>
      </c>
      <c r="AD17" s="203">
        <f t="shared" si="3"/>
        <v>48</v>
      </c>
      <c r="AE17" s="203">
        <f t="shared" si="3"/>
        <v>48</v>
      </c>
      <c r="AF17" s="203">
        <f t="shared" si="3"/>
        <v>48</v>
      </c>
      <c r="AG17" s="203">
        <f t="shared" si="3"/>
        <v>48</v>
      </c>
      <c r="AH17" s="203">
        <f t="shared" si="3"/>
        <v>48</v>
      </c>
      <c r="AI17" s="203">
        <f t="shared" si="3"/>
        <v>49</v>
      </c>
      <c r="AJ17" s="204">
        <f t="shared" si="3"/>
        <v>49</v>
      </c>
      <c r="AK17" s="398"/>
      <c r="AL17" s="114" cm="1">
        <f t="array" ref="AL17">SUM(IF(FREQUENCY(F17:AJ17,F17:AJ17)&gt;0,1))</f>
        <v>6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46327</v>
      </c>
      <c r="G18" s="28">
        <f t="shared" ref="G18:AJ18" si="4">IF(G14,G16,0)</f>
        <v>46328</v>
      </c>
      <c r="H18" s="27">
        <f t="shared" si="4"/>
        <v>46329</v>
      </c>
      <c r="I18" s="27">
        <f t="shared" si="4"/>
        <v>46330</v>
      </c>
      <c r="J18" s="27">
        <f t="shared" si="4"/>
        <v>46331</v>
      </c>
      <c r="K18" s="27">
        <f t="shared" si="4"/>
        <v>46332</v>
      </c>
      <c r="L18" s="27">
        <f t="shared" si="4"/>
        <v>46333</v>
      </c>
      <c r="M18" s="27">
        <f t="shared" si="4"/>
        <v>46334</v>
      </c>
      <c r="N18" s="27">
        <f t="shared" si="4"/>
        <v>46335</v>
      </c>
      <c r="O18" s="27">
        <f t="shared" si="4"/>
        <v>46336</v>
      </c>
      <c r="P18" s="27">
        <f t="shared" si="4"/>
        <v>46337</v>
      </c>
      <c r="Q18" s="27">
        <f t="shared" si="4"/>
        <v>46338</v>
      </c>
      <c r="R18" s="27">
        <f t="shared" si="4"/>
        <v>46339</v>
      </c>
      <c r="S18" s="27">
        <f t="shared" si="4"/>
        <v>46340</v>
      </c>
      <c r="T18" s="27">
        <f t="shared" si="4"/>
        <v>46341</v>
      </c>
      <c r="U18" s="27">
        <f t="shared" si="4"/>
        <v>46342</v>
      </c>
      <c r="V18" s="27">
        <f t="shared" si="4"/>
        <v>46343</v>
      </c>
      <c r="W18" s="27">
        <f t="shared" si="4"/>
        <v>46344</v>
      </c>
      <c r="X18" s="27">
        <f t="shared" si="4"/>
        <v>46345</v>
      </c>
      <c r="Y18" s="27">
        <f t="shared" si="4"/>
        <v>46346</v>
      </c>
      <c r="Z18" s="27">
        <f t="shared" si="4"/>
        <v>46347</v>
      </c>
      <c r="AA18" s="27">
        <f t="shared" si="4"/>
        <v>46348</v>
      </c>
      <c r="AB18" s="27">
        <f t="shared" si="4"/>
        <v>46349</v>
      </c>
      <c r="AC18" s="27">
        <f t="shared" si="4"/>
        <v>46350</v>
      </c>
      <c r="AD18" s="27">
        <f t="shared" si="4"/>
        <v>46351</v>
      </c>
      <c r="AE18" s="27">
        <f t="shared" si="4"/>
        <v>46352</v>
      </c>
      <c r="AF18" s="27">
        <f t="shared" si="4"/>
        <v>46353</v>
      </c>
      <c r="AG18" s="27">
        <f t="shared" si="4"/>
        <v>46354</v>
      </c>
      <c r="AH18" s="27">
        <f t="shared" si="4"/>
        <v>46355</v>
      </c>
      <c r="AI18" s="198">
        <f t="shared" si="4"/>
        <v>46356</v>
      </c>
      <c r="AJ18" s="198">
        <f t="shared" si="4"/>
        <v>0</v>
      </c>
      <c r="AK18" s="399"/>
      <c r="AL18" s="115">
        <f>_xlfn.DAYS(EOMONTH($F$18,0),$F$18)+1</f>
        <v>30</v>
      </c>
      <c r="AM18" s="287">
        <f>AL19*A_fldSollTagStd</f>
        <v>168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dim.</v>
      </c>
      <c r="G19" s="92" t="str">
        <f>IF(G14=1,TEXT(G$18,H_Label!$B$24&amp;"TTT"),0)</f>
        <v>lun.</v>
      </c>
      <c r="H19" s="92" t="str">
        <f>IF(H14=1,TEXT(H$18,H_Label!$B$24&amp;"TTT"),0)</f>
        <v>mar.</v>
      </c>
      <c r="I19" s="92" t="str">
        <f>IF(I14=1,TEXT(I$18,H_Label!$B$24&amp;"TTT"),0)</f>
        <v>mer.</v>
      </c>
      <c r="J19" s="92" t="str">
        <f>IF(J14=1,TEXT(J$18,H_Label!$B$24&amp;"TTT"),0)</f>
        <v>jeu.</v>
      </c>
      <c r="K19" s="92" t="str">
        <f>IF(K14=1,TEXT(K$18,H_Label!$B$24&amp;"TTT"),0)</f>
        <v>ven.</v>
      </c>
      <c r="L19" s="92" t="str">
        <f>IF(L14=1,TEXT(L$18,H_Label!$B$24&amp;"TTT"),0)</f>
        <v>sam.</v>
      </c>
      <c r="M19" s="92" t="str">
        <f>IF(M14=1,TEXT(M$18,H_Label!$B$24&amp;"TTT"),0)</f>
        <v>dim.</v>
      </c>
      <c r="N19" s="92" t="str">
        <f>IF(N14=1,TEXT(N$18,H_Label!$B$24&amp;"TTT"),0)</f>
        <v>lun.</v>
      </c>
      <c r="O19" s="92" t="str">
        <f>IF(O14=1,TEXT(O$18,H_Label!$B$24&amp;"TTT"),0)</f>
        <v>mar.</v>
      </c>
      <c r="P19" s="92" t="str">
        <f>IF(P14=1,TEXT(P$18,H_Label!$B$24&amp;"TTT"),0)</f>
        <v>mer.</v>
      </c>
      <c r="Q19" s="92" t="str">
        <f>IF(Q14=1,TEXT(Q$18,H_Label!$B$24&amp;"TTT"),0)</f>
        <v>jeu.</v>
      </c>
      <c r="R19" s="92" t="str">
        <f>IF(R14=1,TEXT(R$18,H_Label!$B$24&amp;"TTT"),0)</f>
        <v>ven.</v>
      </c>
      <c r="S19" s="92" t="str">
        <f>IF(S14=1,TEXT(S$18,H_Label!$B$24&amp;"TTT"),0)</f>
        <v>sam.</v>
      </c>
      <c r="T19" s="92" t="str">
        <f>IF(T14=1,TEXT(T$18,H_Label!$B$24&amp;"TTT"),0)</f>
        <v>dim.</v>
      </c>
      <c r="U19" s="92" t="str">
        <f>IF(U14=1,TEXT(U$18,H_Label!$B$24&amp;"TTT"),0)</f>
        <v>lun.</v>
      </c>
      <c r="V19" s="92" t="str">
        <f>IF(V14=1,TEXT(V$18,H_Label!$B$24&amp;"TTT"),0)</f>
        <v>mar.</v>
      </c>
      <c r="W19" s="92" t="str">
        <f>IF(W14=1,TEXT(W$18,H_Label!$B$24&amp;"TTT"),0)</f>
        <v>mer.</v>
      </c>
      <c r="X19" s="92" t="str">
        <f>IF(X14=1,TEXT(X$18,H_Label!$B$24&amp;"TTT"),0)</f>
        <v>jeu.</v>
      </c>
      <c r="Y19" s="92" t="str">
        <f>IF(Y14=1,TEXT(Y$18,H_Label!$B$24&amp;"TTT"),0)</f>
        <v>ven.</v>
      </c>
      <c r="Z19" s="92" t="str">
        <f>IF(Z14=1,TEXT(Z$18,H_Label!$B$24&amp;"TTT"),0)</f>
        <v>sam.</v>
      </c>
      <c r="AA19" s="92" t="str">
        <f>IF(AA14=1,TEXT(AA$18,H_Label!$B$24&amp;"TTT"),0)</f>
        <v>dim.</v>
      </c>
      <c r="AB19" s="92" t="str">
        <f>IF(AB14=1,TEXT(AB$18,H_Label!$B$24&amp;"TTT"),0)</f>
        <v>lun.</v>
      </c>
      <c r="AC19" s="92" t="str">
        <f>IF(AC14=1,TEXT(AC$18,H_Label!$B$24&amp;"TTT"),0)</f>
        <v>mar.</v>
      </c>
      <c r="AD19" s="92" t="str">
        <f>IF(AD14=1,TEXT(AD$18,H_Label!$B$24&amp;"TTT"),0)</f>
        <v>mer.</v>
      </c>
      <c r="AE19" s="92" t="str">
        <f>IF(AE14=1,TEXT(AE$18,H_Label!$B$24&amp;"TTT"),0)</f>
        <v>jeu.</v>
      </c>
      <c r="AF19" s="92" t="str">
        <f>IF(AF14=1,TEXT(AF$18,H_Label!$B$24&amp;"TTT"),0)</f>
        <v>ven.</v>
      </c>
      <c r="AG19" s="92" t="str">
        <f>IF(AG14=1,TEXT(AG$18,H_Label!$B$24&amp;"TTT"),0)</f>
        <v>sam.</v>
      </c>
      <c r="AH19" s="92" t="str">
        <f>IF(AH14=1,TEXT(AH$18,H_Label!$B$24&amp;"TTT"),0)</f>
        <v>dim.</v>
      </c>
      <c r="AI19" s="92" t="str">
        <f>IF(AI14=1,TEXT(AI$18,H_Label!$B$24&amp;"TTT"),0)</f>
        <v>lun.</v>
      </c>
      <c r="AJ19" s="92">
        <f>IF(AJ14=1,TEXT(AJ$18,H_Label!$B$24&amp;"TTT"),0)</f>
        <v>0</v>
      </c>
      <c r="AK19" s="400"/>
      <c r="AL19" s="117">
        <f>NETWORKDAYS($F$18,EOMONTH($F$18,0))</f>
        <v>21</v>
      </c>
      <c r="AM19" s="288">
        <f>SUM(F20:AJ20)</f>
        <v>168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heures théorique</v>
      </c>
      <c r="E20" s="19"/>
      <c r="F20" s="26" cm="1">
        <f t="array" ref="F20">IF(OR(F14=0,F54="x"),0,A_fldSollTagStd*SUMPRODUCT((H_tblBGTage=WEEKDAY(F16,2))*(H_tblBGMnt=M_Monat)*H_tblBG%))</f>
        <v>0</v>
      </c>
      <c r="G20" s="26" cm="1">
        <f t="array" ref="G20">IF(OR(G14=0,G54="x"),0,A_fldSollTagStd*SUMPRODUCT((H_tblBGTage=WEEKDAY(G16,2))*(H_tblBGMnt=M_Monat)*H_tblBG%))</f>
        <v>8</v>
      </c>
      <c r="H20" s="26" cm="1">
        <f t="array" ref="H20">IF(OR(H14=0,H54="x"),0,A_fldSollTagStd*SUMPRODUCT((H_tblBGTage=WEEKDAY(H16,2))*(H_tblBGMnt=M_Monat)*H_tblBG%))</f>
        <v>8</v>
      </c>
      <c r="I20" s="26" cm="1">
        <f t="array" ref="I20">IF(OR(I14=0,I54="x"),0,A_fldSollTagStd*SUMPRODUCT((H_tblBGTage=WEEKDAY(I16,2))*(H_tblBGMnt=M_Monat)*H_tblBG%))</f>
        <v>8</v>
      </c>
      <c r="J20" s="26" cm="1">
        <f t="array" ref="J20">IF(OR(J14=0,J54="x"),0,A_fldSollTagStd*SUMPRODUCT((H_tblBGTage=WEEKDAY(J16,2))*(H_tblBGMnt=M_Monat)*H_tblBG%))</f>
        <v>8</v>
      </c>
      <c r="K20" s="26" cm="1">
        <f t="array" ref="K20">IF(OR(K14=0,K54="x"),0,A_fldSollTagStd*SUMPRODUCT((H_tblBGTage=WEEKDAY(K16,2))*(H_tblBGMnt=M_Monat)*H_tblBG%))</f>
        <v>8</v>
      </c>
      <c r="L20" s="26" cm="1">
        <f t="array" ref="L20">IF(OR(L14=0,L54="x"),0,A_fldSollTagStd*SUMPRODUCT((H_tblBGTage=WEEKDAY(L16,2))*(H_tblBGMnt=M_Monat)*H_tblBG%))</f>
        <v>0</v>
      </c>
      <c r="M20" s="26" cm="1">
        <f t="array" ref="M20">IF(OR(M14=0,M54="x"),0,A_fldSollTagStd*SUMPRODUCT((H_tblBGTage=WEEKDAY(M16,2))*(H_tblBGMnt=M_Monat)*H_tblBG%))</f>
        <v>0</v>
      </c>
      <c r="N20" s="26" cm="1">
        <f t="array" ref="N20">IF(OR(N14=0,N54="x"),0,A_fldSollTagStd*SUMPRODUCT((H_tblBGTage=WEEKDAY(N16,2))*(H_tblBGMnt=M_Monat)*H_tblBG%))</f>
        <v>8</v>
      </c>
      <c r="O20" s="26" cm="1">
        <f t="array" ref="O20">IF(OR(O14=0,O54="x"),0,A_fldSollTagStd*SUMPRODUCT((H_tblBGTage=WEEKDAY(O16,2))*(H_tblBGMnt=M_Monat)*H_tblBG%))</f>
        <v>8</v>
      </c>
      <c r="P20" s="26" cm="1">
        <f t="array" ref="P20">IF(OR(P14=0,P54="x"),0,A_fldSollTagStd*SUMPRODUCT((H_tblBGTage=WEEKDAY(P16,2))*(H_tblBGMnt=M_Monat)*H_tblBG%))</f>
        <v>8</v>
      </c>
      <c r="Q20" s="26" cm="1">
        <f t="array" ref="Q20">IF(OR(Q14=0,Q54="x"),0,A_fldSollTagStd*SUMPRODUCT((H_tblBGTage=WEEKDAY(Q16,2))*(H_tblBGMnt=M_Monat)*H_tblBG%))</f>
        <v>8</v>
      </c>
      <c r="R20" s="26" cm="1">
        <f t="array" ref="R20">IF(OR(R14=0,R54="x"),0,A_fldSollTagStd*SUMPRODUCT((H_tblBGTage=WEEKDAY(R16,2))*(H_tblBGMnt=M_Monat)*H_tblBG%))</f>
        <v>8</v>
      </c>
      <c r="S20" s="26" cm="1">
        <f t="array" ref="S20">IF(OR(S14=0,S54="x"),0,A_fldSollTagStd*SUMPRODUCT((H_tblBGTage=WEEKDAY(S16,2))*(H_tblBGMnt=M_Monat)*H_tblBG%))</f>
        <v>0</v>
      </c>
      <c r="T20" s="26" cm="1">
        <f t="array" ref="T20">IF(OR(T14=0,T54="x"),0,A_fldSollTagStd*SUMPRODUCT((H_tblBGTage=WEEKDAY(T16,2))*(H_tblBGMnt=M_Monat)*H_tblBG%))</f>
        <v>0</v>
      </c>
      <c r="U20" s="26" cm="1">
        <f t="array" ref="U20">IF(OR(U14=0,U54="x"),0,A_fldSollTagStd*SUMPRODUCT((H_tblBGTage=WEEKDAY(U16,2))*(H_tblBGMnt=M_Monat)*H_tblBG%))</f>
        <v>8</v>
      </c>
      <c r="V20" s="26" cm="1">
        <f t="array" ref="V20">IF(OR(V14=0,V54="x"),0,A_fldSollTagStd*SUMPRODUCT((H_tblBGTage=WEEKDAY(V16,2))*(H_tblBGMnt=M_Monat)*H_tblBG%))</f>
        <v>8</v>
      </c>
      <c r="W20" s="26" cm="1">
        <f t="array" ref="W20">IF(OR(W14=0,W54="x"),0,A_fldSollTagStd*SUMPRODUCT((H_tblBGTage=WEEKDAY(W16,2))*(H_tblBGMnt=M_Monat)*H_tblBG%))</f>
        <v>8</v>
      </c>
      <c r="X20" s="26" cm="1">
        <f t="array" ref="X20">IF(OR(X14=0,X54="x"),0,A_fldSollTagStd*SUMPRODUCT((H_tblBGTage=WEEKDAY(X16,2))*(H_tblBGMnt=M_Monat)*H_tblBG%))</f>
        <v>8</v>
      </c>
      <c r="Y20" s="26" cm="1">
        <f t="array" ref="Y20">IF(OR(Y14=0,Y54="x"),0,A_fldSollTagStd*SUMPRODUCT((H_tblBGTage=WEEKDAY(Y16,2))*(H_tblBGMnt=M_Monat)*H_tblBG%))</f>
        <v>8</v>
      </c>
      <c r="Z20" s="26" cm="1">
        <f t="array" ref="Z20">IF(OR(Z14=0,Z54="x"),0,A_fldSollTagStd*SUMPRODUCT((H_tblBGTage=WEEKDAY(Z16,2))*(H_tblBGMnt=M_Monat)*H_tblBG%))</f>
        <v>0</v>
      </c>
      <c r="AA20" s="26" cm="1">
        <f t="array" ref="AA20">IF(OR(AA14=0,AA54="x"),0,A_fldSollTagStd*SUMPRODUCT((H_tblBGTage=WEEKDAY(AA16,2))*(H_tblBGMnt=M_Monat)*H_tblBG%))</f>
        <v>0</v>
      </c>
      <c r="AB20" s="26" cm="1">
        <f t="array" ref="AB20">IF(OR(AB14=0,AB54="x"),0,A_fldSollTagStd*SUMPRODUCT((H_tblBGTage=WEEKDAY(AB16,2))*(H_tblBGMnt=M_Monat)*H_tblBG%))</f>
        <v>8</v>
      </c>
      <c r="AC20" s="26" cm="1">
        <f t="array" ref="AC20">IF(OR(AC14=0,AC54="x"),0,A_fldSollTagStd*SUMPRODUCT((H_tblBGTage=WEEKDAY(AC16,2))*(H_tblBGMnt=M_Monat)*H_tblBG%))</f>
        <v>8</v>
      </c>
      <c r="AD20" s="26" cm="1">
        <f t="array" ref="AD20">IF(OR(AD14=0,AD54="x"),0,A_fldSollTagStd*SUMPRODUCT((H_tblBGTage=WEEKDAY(AD16,2))*(H_tblBGMnt=M_Monat)*H_tblBG%))</f>
        <v>8</v>
      </c>
      <c r="AE20" s="26" cm="1">
        <f t="array" ref="AE20">IF(OR(AE14=0,AE54="x"),0,A_fldSollTagStd*SUMPRODUCT((H_tblBGTage=WEEKDAY(AE16,2))*(H_tblBGMnt=M_Monat)*H_tblBG%))</f>
        <v>8</v>
      </c>
      <c r="AF20" s="26" cm="1">
        <f t="array" ref="AF20">IF(OR(AF14=0,AF54="x"),0,A_fldSollTagStd*SUMPRODUCT((H_tblBGTage=WEEKDAY(AF16,2))*(H_tblBGMnt=M_Monat)*H_tblBG%))</f>
        <v>8</v>
      </c>
      <c r="AG20" s="26" cm="1">
        <f t="array" ref="AG20">IF(OR(AG14=0,AG54="x"),0,A_fldSollTagStd*SUMPRODUCT((H_tblBGTage=WEEKDAY(AG16,2))*(H_tblBGMnt=M_Monat)*H_tblBG%))</f>
        <v>0</v>
      </c>
      <c r="AH20" s="26" cm="1">
        <f t="array" ref="AH20">IF(OR(AH14=0,AH54="x"),0,A_fldSollTagStd*SUMPRODUCT((H_tblBGTage=WEEKDAY(AH16,2))*(H_tblBGMnt=M_Monat)*H_tblBG%))</f>
        <v>0</v>
      </c>
      <c r="AI20" s="199" cm="1">
        <f t="array" ref="AI20">IF(OR(AI14=0,AI54="x"),0,A_fldSollTagStd*SUMPRODUCT((H_tblBGTage=WEEKDAY(AI16,2))*(H_tblBGMnt=M_Monat)*H_tblBG%))</f>
        <v>8</v>
      </c>
      <c r="AJ20" s="199" cm="1">
        <f t="array" ref="AJ20">IF(OR(AJ14=0,AJ54="x"),0,A_fldSollTagStd*SUMPRODUCT((H_tblBGTage=WEEKDAY(AJ16,2))*(H_tblBGMnt=M_Monat)*H_tblBG%))</f>
        <v>0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jours fériés</v>
      </c>
      <c r="E21" s="20"/>
      <c r="F21" s="195" t="str" cm="1">
        <f t="array" ref="F21">INDEX(H_Calendar!$K$10:$K$375,MATCH(1,INDEX((H_Calendar!$E$10:$E$375=M_Monat)*(H_Calendar!$H$10:$H$375=DAY(F$18)),0,1),0))</f>
        <v/>
      </c>
      <c r="G21" s="195" t="str" cm="1">
        <f t="array" ref="G21">INDEX(H_Calendar!$K$10:$K$375,MATCH(1,INDEX((H_Calendar!$E$10:$E$375=M_Monat)*(H_Calendar!$H$10:$H$375=DAY(G$18)),0,1),0))</f>
        <v/>
      </c>
      <c r="H21" s="195" t="str" cm="1">
        <f t="array" ref="H21">INDEX(H_Calendar!$K$10:$K$375,MATCH(1,INDEX((H_Calendar!$E$10:$E$375=M_Monat)*(H_Calendar!$H$10:$H$375=DAY(H$18)),0,1),0))</f>
        <v/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/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/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/>
      </c>
      <c r="AD21" s="195" t="str" cm="1">
        <f t="array" ref="AD21">INDEX(H_Calendar!$K$10:$K$375,MATCH(1,INDEX((H_Calendar!$E$10:$E$375=M_Monat)*(H_Calendar!$H$10:$H$375=DAY(AD$18)),0,1),0))</f>
        <v/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0</v>
      </c>
      <c r="AM21" s="320">
        <f>COUNTIF(F21:AJ21,"ft")</f>
        <v>0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heures productives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x14ac:dyDescent="0.2">
      <c r="A25" s="252"/>
      <c r="B25" s="438"/>
      <c r="C25" s="252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customHeight="1" x14ac:dyDescent="0.2">
      <c r="A26" s="252"/>
      <c r="B26" s="438"/>
      <c r="C26" s="252">
        <v>4</v>
      </c>
      <c r="D26" s="606" t="str">
        <f>H_Label!B313</f>
        <v>temps de trajet (total)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déduction de temps de trajet = 0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total journalier y c. temp de trajet payé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total hebdomadaire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9" s="143" t="str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déc.</v>
      </c>
      <c r="AJ29" s="144" t="str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/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crédits et majorations</v>
      </c>
      <c r="E30" s="87"/>
      <c r="F30" s="145" t="str">
        <f>H_Label!B264</f>
        <v>1)  25% majoration temporelle pour depassement les heures maximales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majoration temporelle pour travail de nuit</v>
      </c>
      <c r="Q30" s="145"/>
      <c r="R30" s="145"/>
      <c r="S30" s="145"/>
      <c r="T30" s="145"/>
      <c r="U30" s="145"/>
      <c r="V30" s="145"/>
      <c r="W30" s="145" t="str">
        <f>H_Label!B266</f>
        <v>3) 100% majoration temporelle pour travail du dimanche et jour férié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Majoration  "jf"</v>
      </c>
      <c r="E31" s="23"/>
      <c r="F31" s="24">
        <f t="shared" ref="F31:AG31" si="8">IF(F21="ft",F20,0)</f>
        <v>0</v>
      </c>
      <c r="G31" s="24">
        <f t="shared" si="8"/>
        <v>0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0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0</v>
      </c>
      <c r="AD31" s="24">
        <f t="shared" si="8"/>
        <v>0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0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Majorations temp.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>déc.</v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/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Majorations temp.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Majorations temp.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>
        <f>H_Label!B273</f>
        <v>0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vacances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compensation année passée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42" si="11">SUM(F37:AJ37)</f>
        <v>0</v>
      </c>
      <c r="AM37" s="292">
        <f t="shared" ref="AM37:AM42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compensation année en cours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absences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maladie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accident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absences de grossesse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Congé de maternité/paternité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militaire/promotion/protection civile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ref="AL44:AL50" si="13">SUM(F44:AJ44)</f>
        <v>0</v>
      </c>
      <c r="AM44" s="292">
        <f t="shared" ref="AM44:AM50" si="14">COUNT(F44:AJ44)</f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école professionelle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3"/>
        <v>0</v>
      </c>
      <c r="AM45" s="292">
        <f t="shared" si="14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cours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3"/>
        <v>0</v>
      </c>
      <c r="AM46" s="292">
        <f t="shared" si="14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chômage partiel et intempéries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3"/>
        <v>0</v>
      </c>
      <c r="AM47" s="292">
        <f t="shared" si="14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arrêts définis par l'entreprise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3"/>
        <v>0</v>
      </c>
      <c r="AM48" s="292">
        <f t="shared" si="14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vacances non payées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3"/>
        <v>0</v>
      </c>
      <c r="AM49" s="292">
        <f t="shared" si="14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heures manquantes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3"/>
        <v>0</v>
      </c>
      <c r="AM50" s="292">
        <f t="shared" si="14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heures inproductives totales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5">ROUND(SUM(H39:H48),4)</f>
        <v>0</v>
      </c>
      <c r="I51" s="433">
        <f t="shared" si="15"/>
        <v>0</v>
      </c>
      <c r="J51" s="433">
        <f t="shared" si="15"/>
        <v>0</v>
      </c>
      <c r="K51" s="433">
        <f t="shared" si="15"/>
        <v>0</v>
      </c>
      <c r="L51" s="433">
        <f t="shared" si="15"/>
        <v>0</v>
      </c>
      <c r="M51" s="433">
        <f t="shared" si="15"/>
        <v>0</v>
      </c>
      <c r="N51" s="433">
        <f t="shared" si="15"/>
        <v>0</v>
      </c>
      <c r="O51" s="433">
        <f t="shared" si="15"/>
        <v>0</v>
      </c>
      <c r="P51" s="433">
        <f t="shared" si="15"/>
        <v>0</v>
      </c>
      <c r="Q51" s="433">
        <f t="shared" si="15"/>
        <v>0</v>
      </c>
      <c r="R51" s="433">
        <f t="shared" si="15"/>
        <v>0</v>
      </c>
      <c r="S51" s="433">
        <f t="shared" si="15"/>
        <v>0</v>
      </c>
      <c r="T51" s="433">
        <f t="shared" si="15"/>
        <v>0</v>
      </c>
      <c r="U51" s="433">
        <f t="shared" si="15"/>
        <v>0</v>
      </c>
      <c r="V51" s="433">
        <f t="shared" si="15"/>
        <v>0</v>
      </c>
      <c r="W51" s="433">
        <f t="shared" si="15"/>
        <v>0</v>
      </c>
      <c r="X51" s="433">
        <f t="shared" si="15"/>
        <v>0</v>
      </c>
      <c r="Y51" s="433">
        <f t="shared" si="15"/>
        <v>0</v>
      </c>
      <c r="Z51" s="433">
        <f t="shared" si="15"/>
        <v>0</v>
      </c>
      <c r="AA51" s="433">
        <f t="shared" si="15"/>
        <v>0</v>
      </c>
      <c r="AB51" s="433">
        <f t="shared" si="15"/>
        <v>0</v>
      </c>
      <c r="AC51" s="433">
        <f t="shared" si="15"/>
        <v>0</v>
      </c>
      <c r="AD51" s="433">
        <f t="shared" si="15"/>
        <v>0</v>
      </c>
      <c r="AE51" s="433">
        <f t="shared" si="15"/>
        <v>0</v>
      </c>
      <c r="AF51" s="433">
        <f t="shared" si="15"/>
        <v>0</v>
      </c>
      <c r="AG51" s="433">
        <f t="shared" si="15"/>
        <v>0</v>
      </c>
      <c r="AH51" s="433">
        <f t="shared" si="15"/>
        <v>0</v>
      </c>
      <c r="AI51" s="433">
        <f t="shared" si="15"/>
        <v>0</v>
      </c>
      <c r="AJ51" s="434">
        <f t="shared" si="15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contrôle et corrections</v>
      </c>
      <c r="E52" s="87"/>
      <c r="F52" s="146"/>
      <c r="G52" s="147" t="str">
        <f>H_Label!B292</f>
        <v>veuillez cocher les jours de correction avec "x"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jour de carence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exclure jour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21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corrections manuelles</v>
      </c>
      <c r="E56" s="149"/>
      <c r="F56" s="150" t="str">
        <f>H_Label!B298</f>
        <v>heures payées se année passée</v>
      </c>
      <c r="G56" s="150"/>
      <c r="H56" s="150"/>
      <c r="I56" s="150"/>
      <c r="J56" s="150"/>
      <c r="K56" s="835"/>
      <c r="L56" s="836"/>
      <c r="M56" s="837"/>
      <c r="N56" s="148"/>
      <c r="O56" s="148"/>
      <c r="P56" s="150" t="str">
        <f>H_Label!B299</f>
        <v>heures payées année en cours (heures supplémentaires)</v>
      </c>
      <c r="Q56" s="148"/>
      <c r="R56" s="148"/>
      <c r="S56" s="148"/>
      <c r="T56" s="148"/>
      <c r="U56" s="148"/>
      <c r="V56" s="148"/>
      <c r="W56" s="835"/>
      <c r="X56" s="836"/>
      <c r="Y56" s="837"/>
      <c r="Z56" s="148"/>
      <c r="AA56" s="150"/>
      <c r="AB56" s="148"/>
      <c r="AC56" s="148"/>
      <c r="AD56" s="150" t="str">
        <f>H_Label!B300</f>
        <v>vacances avoir / déduction</v>
      </c>
      <c r="AE56" s="150"/>
      <c r="AF56" s="150"/>
      <c r="AG56" s="150"/>
      <c r="AH56" s="835"/>
      <c r="AI56" s="836"/>
      <c r="AJ56" s="837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remarques</v>
      </c>
      <c r="E58" s="152"/>
      <c r="F58" s="814"/>
      <c r="G58" s="815"/>
      <c r="H58" s="815"/>
      <c r="I58" s="815"/>
      <c r="J58" s="815"/>
      <c r="K58" s="815"/>
      <c r="L58" s="815"/>
      <c r="M58" s="815"/>
      <c r="N58" s="815"/>
      <c r="O58" s="815"/>
      <c r="P58" s="815"/>
      <c r="Q58" s="815"/>
      <c r="R58" s="815"/>
      <c r="S58" s="815"/>
      <c r="T58" s="815"/>
      <c r="U58" s="815"/>
      <c r="V58" s="815"/>
      <c r="W58" s="815"/>
      <c r="X58" s="815"/>
      <c r="Y58" s="815"/>
      <c r="Z58" s="815"/>
      <c r="AA58" s="815"/>
      <c r="AB58" s="815"/>
      <c r="AC58" s="815"/>
      <c r="AD58" s="815"/>
      <c r="AE58" s="815"/>
      <c r="AF58" s="815"/>
      <c r="AG58" s="815"/>
      <c r="AH58" s="815"/>
      <c r="AI58" s="815"/>
      <c r="AJ58" s="816"/>
      <c r="AK58" s="396"/>
    </row>
    <row r="59" spans="1:46" ht="12" customHeight="1" x14ac:dyDescent="0.25">
      <c r="D59" s="153"/>
      <c r="E59" s="153"/>
      <c r="F59" s="817"/>
      <c r="G59" s="818"/>
      <c r="H59" s="818"/>
      <c r="I59" s="818"/>
      <c r="J59" s="818"/>
      <c r="K59" s="818"/>
      <c r="L59" s="818"/>
      <c r="M59" s="818"/>
      <c r="N59" s="818"/>
      <c r="O59" s="818"/>
      <c r="P59" s="818"/>
      <c r="Q59" s="818"/>
      <c r="R59" s="818"/>
      <c r="S59" s="818"/>
      <c r="T59" s="818"/>
      <c r="U59" s="818"/>
      <c r="V59" s="818"/>
      <c r="W59" s="818"/>
      <c r="X59" s="818"/>
      <c r="Y59" s="818"/>
      <c r="Z59" s="818"/>
      <c r="AA59" s="818"/>
      <c r="AB59" s="818"/>
      <c r="AC59" s="818"/>
      <c r="AD59" s="818"/>
      <c r="AE59" s="818"/>
      <c r="AF59" s="818"/>
      <c r="AG59" s="818"/>
      <c r="AH59" s="818"/>
      <c r="AI59" s="818"/>
      <c r="AJ59" s="819"/>
      <c r="AK59" s="396"/>
    </row>
    <row r="60" spans="1:46" ht="12" customHeight="1" x14ac:dyDescent="0.25">
      <c r="D60" s="154"/>
      <c r="E60" s="154"/>
      <c r="F60" s="832"/>
      <c r="G60" s="833"/>
      <c r="H60" s="833"/>
      <c r="I60" s="833"/>
      <c r="J60" s="833"/>
      <c r="K60" s="833"/>
      <c r="L60" s="833"/>
      <c r="M60" s="833"/>
      <c r="N60" s="833"/>
      <c r="O60" s="833"/>
      <c r="P60" s="833"/>
      <c r="Q60" s="833"/>
      <c r="R60" s="833"/>
      <c r="S60" s="833"/>
      <c r="T60" s="833"/>
      <c r="U60" s="833"/>
      <c r="V60" s="833"/>
      <c r="W60" s="833"/>
      <c r="X60" s="833"/>
      <c r="Y60" s="833"/>
      <c r="Z60" s="833"/>
      <c r="AA60" s="833"/>
      <c r="AB60" s="833"/>
      <c r="AC60" s="833"/>
      <c r="AD60" s="833"/>
      <c r="AE60" s="833"/>
      <c r="AF60" s="833"/>
      <c r="AG60" s="833"/>
      <c r="AH60" s="833"/>
      <c r="AI60" s="833"/>
      <c r="AJ60" s="834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J'ai contrôlé les comptes mensuels et vérifié leur exactitude.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09"/>
      <c r="G63" s="809"/>
      <c r="H63" s="809"/>
      <c r="I63" s="809"/>
      <c r="J63" s="809"/>
      <c r="K63" s="809"/>
      <c r="L63" s="809"/>
      <c r="M63" s="809"/>
      <c r="V63" s="809"/>
      <c r="W63" s="809"/>
      <c r="X63" s="809"/>
      <c r="Y63" s="809"/>
      <c r="Z63" s="809"/>
      <c r="AA63" s="809"/>
      <c r="AB63" s="809"/>
      <c r="AC63" s="809"/>
      <c r="AH63" s="809"/>
      <c r="AI63" s="809"/>
      <c r="AJ63" s="809"/>
    </row>
    <row r="64" spans="1:46" ht="15.75" x14ac:dyDescent="0.25">
      <c r="D64" s="156" t="str">
        <f>H_Label!B306</f>
        <v>visa employé</v>
      </c>
      <c r="E64" s="156"/>
      <c r="F64" s="810"/>
      <c r="G64" s="810"/>
      <c r="H64" s="810"/>
      <c r="I64" s="810"/>
      <c r="J64" s="810"/>
      <c r="K64" s="810"/>
      <c r="L64" s="810"/>
      <c r="M64" s="810"/>
      <c r="N64" s="156"/>
      <c r="O64" s="148"/>
      <c r="P64" s="156" t="str">
        <f>H_Label!B307</f>
        <v>visa supérieur hiérarchique</v>
      </c>
      <c r="Q64" s="148"/>
      <c r="R64" s="15"/>
      <c r="S64" s="156"/>
      <c r="T64" s="156"/>
      <c r="U64" s="156"/>
      <c r="V64" s="810"/>
      <c r="W64" s="810"/>
      <c r="X64" s="810"/>
      <c r="Y64" s="810"/>
      <c r="Z64" s="810"/>
      <c r="AA64" s="810"/>
      <c r="AB64" s="810"/>
      <c r="AC64" s="810"/>
      <c r="AD64" s="148"/>
      <c r="AE64" s="15"/>
      <c r="AF64" s="156" t="str">
        <f>H_Label!B308</f>
        <v>date</v>
      </c>
      <c r="AG64" s="15"/>
      <c r="AH64" s="810"/>
      <c r="AI64" s="810"/>
      <c r="AJ64" s="810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iuOMYf69ZpIEl3EyZkyQ2Yyo7rFshhoEnnty/6cogYQTllNcsroHTii4jBGX7OZfAzzRTIA5WCW1tlW4UF3SEA==" saltValue="6GnibsZu8OFDGDl6/UCxpA==" spinCount="100000" sheet="1" objects="1" scenarios="1"/>
  <mergeCells count="23">
    <mergeCell ref="F63:M64"/>
    <mergeCell ref="V63:AC64"/>
    <mergeCell ref="AH63:AJ64"/>
    <mergeCell ref="K56:M56"/>
    <mergeCell ref="W56:Y56"/>
    <mergeCell ref="AH56:AJ56"/>
    <mergeCell ref="F58:AJ58"/>
    <mergeCell ref="F59:AJ59"/>
    <mergeCell ref="F60:AJ60"/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</mergeCells>
  <conditionalFormatting sqref="D37:AJ37">
    <cfRule type="expression" dxfId="44" priority="14">
      <formula>AND(M_Monat&gt;4,M_Monat&lt;10)</formula>
    </cfRule>
    <cfRule type="expression" dxfId="43" priority="15">
      <formula>M_Monat&gt;=10</formula>
    </cfRule>
  </conditionalFormatting>
  <conditionalFormatting sqref="E15:AK15">
    <cfRule type="expression" dxfId="42" priority="9">
      <formula>E$15=2</formula>
    </cfRule>
  </conditionalFormatting>
  <conditionalFormatting sqref="F17:AJ17">
    <cfRule type="expression" dxfId="41" priority="12">
      <formula>OR(AND(DAY(F$16)&lt;&gt;1,WEEKDAY(F$16,2)&lt;&gt;1),F$14=0)</formula>
    </cfRule>
    <cfRule type="expression" dxfId="40" priority="13">
      <formula>OR(F$15=2,AND(F$14=1,WEEKDAY(F$16,2)=7))</formula>
    </cfRule>
  </conditionalFormatting>
  <conditionalFormatting sqref="F18:AJ21 F23:AJ28 F31:AJ31 F33:AJ34 F36:AJ51 F53:AJ54">
    <cfRule type="expression" dxfId="39" priority="17">
      <formula>F$21="ft"</formula>
    </cfRule>
  </conditionalFormatting>
  <conditionalFormatting sqref="F18:AJ21 F23:AJ29 F31:AJ34 F36:AJ51 F53:AJ54">
    <cfRule type="expression" dxfId="38" priority="8">
      <formula>AND(F$14=0,$B18=0)</formula>
    </cfRule>
  </conditionalFormatting>
  <conditionalFormatting sqref="F28:AJ29 F32:AJ32">
    <cfRule type="expression" dxfId="37" priority="10">
      <formula>OR(WEEKDAY(F$16,2)=7,F$15=2)</formula>
    </cfRule>
  </conditionalFormatting>
  <conditionalFormatting sqref="F36:AJ51 F53:AJ54 F18:AJ21 F23:AJ28 F31:AJ31 F33:AJ34">
    <cfRule type="expression" dxfId="36" priority="16">
      <formula>WEEKDAY(F$18,2)=7</formula>
    </cfRule>
    <cfRule type="expression" dxfId="35" priority="18">
      <formula>WEEKDAY(F$18,2)=6</formula>
    </cfRule>
  </conditionalFormatting>
  <conditionalFormatting sqref="F53:AJ54">
    <cfRule type="containsText" dxfId="34" priority="11" operator="containsText" text="x">
      <formula>NOT(ISERROR(SEARCH("x",F53)))</formula>
    </cfRule>
  </conditionalFormatting>
  <conditionalFormatting sqref="J3:L3">
    <cfRule type="expression" dxfId="33" priority="1">
      <formula>B_fldSaldoVJ=0</formula>
    </cfRule>
  </conditionalFormatting>
  <conditionalFormatting sqref="AB3:AD3">
    <cfRule type="expression" dxfId="30" priority="2">
      <formula>H_fldFerienEndSaldo&lt;0</formula>
    </cfRule>
  </conditionalFormatting>
  <conditionalFormatting sqref="AG18:AJ21 AG23:AJ29 AG31:AJ34 AG36:AJ51 AG53:AJ54">
    <cfRule type="expression" dxfId="29" priority="6">
      <formula>AND(AG$14=0,$B18&lt;&gt;0)</formula>
    </cfRule>
    <cfRule type="expression" dxfId="28" priority="7">
      <formula>AG$15=2</formula>
    </cfRule>
  </conditionalFormatting>
  <conditionalFormatting sqref="AJ17:AJ21 AJ23:AJ29 AJ31:AJ34 AJ36:AJ51 AJ53:AJ54">
    <cfRule type="expression" dxfId="27" priority="5">
      <formula>AK$15="m"</formula>
    </cfRule>
  </conditionalFormatting>
  <dataValidations count="11"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A57E2150-C03D-4344-95C6-1B4481A9FE61}">
      <formula1>-4000</formula1>
      <formula2>24</formula2>
    </dataValidation>
    <dataValidation type="custom" operator="greaterThanOrEqual" showErrorMessage="1" errorTitle="Karenztag" error="Zuerst Stunden im Feld &quot;Krankheit&quot; erfassen!" sqref="F53:AJ53" xr:uid="{34FCD954-29D0-45D9-BD55-2F2CB0ABD99A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5A26F6DB-B317-47D1-853B-A3204659DA8F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6ED0B79B-85BF-4133-B347-342A448D34D4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5E749A12-1094-4E90-B2CD-E4455AD9D0B5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D19CC645-6366-460E-8A5E-928D3456502B}"/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5F0F79CC-8439-4CA2-8563-EE0A9CB19793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6155A060-943C-4FA5-B0BB-0B6F271E852A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09313ACF-767B-4CE5-B4B7-E591CE93DD6E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156C6075-9D59-41F3-B475-F3F087CFDE0C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9:AK50" xr:uid="{18134D9E-8501-4FAA-9E8C-B87B7B52036A}">
      <formula1>-4000</formula1>
    </dataValidation>
  </dataValidations>
  <hyperlinks>
    <hyperlink ref="AJ12" location="Jahresauswertung!H3" display="." xr:uid="{1CE44CC4-B323-4591-ACC1-D8A7CFB6DFAC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9A74899-070D-4487-8CBC-04213646D737}">
            <xm:f>'report annuel'!$X$34=0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B3262028-735B-4F3A-BEB9-6E271FF7B040}">
            <xm:f>'report annuel'!$X$34&lt;0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16BC3-91C0-4E90-B636-0DAE671CD282}">
  <sheetPr codeName="ts12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"/>
      <selection pane="bottomLeft" activeCell="R27" sqref="R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13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13"/>
      <c r="F3" s="550" t="str">
        <f>H_Label!B32</f>
        <v>heures année passée</v>
      </c>
      <c r="G3" s="551"/>
      <c r="H3" s="551"/>
      <c r="I3" s="551"/>
      <c r="J3" s="812" t="str">
        <f>TEXT('report annuel'!$X$34,"0.00")&amp;" / "&amp;TEXT(B_fldSaldoVJ,"0.00")</f>
        <v>0.00 / 0.00</v>
      </c>
      <c r="K3" s="812"/>
      <c r="L3" s="812"/>
      <c r="M3" s="552"/>
      <c r="N3" s="552"/>
      <c r="O3" s="550" t="str">
        <f>H_Label!B33</f>
        <v>heures année en cours</v>
      </c>
      <c r="P3" s="551"/>
      <c r="Q3" s="551"/>
      <c r="R3" s="551"/>
      <c r="S3" s="551"/>
      <c r="T3" s="831">
        <f>'report annuel'!$AD$43</f>
        <v>-2016</v>
      </c>
      <c r="U3" s="831"/>
      <c r="V3" s="831"/>
      <c r="W3" s="552"/>
      <c r="X3" s="552"/>
      <c r="Y3" s="550" t="str">
        <f>H_Label!B34</f>
        <v>se des vacences</v>
      </c>
      <c r="Z3" s="551"/>
      <c r="AA3" s="551"/>
      <c r="AB3" s="812" t="str">
        <f ca="1">TEXT(H_fldFerienEndSaldo,"0.00")&amp;" / "&amp;TEXT(H_fldFerienSaldoKORR,"0.00")</f>
        <v>176.00 / 176.00</v>
      </c>
      <c r="AC3" s="812"/>
      <c r="AD3" s="812"/>
      <c r="AF3" s="148"/>
      <c r="AG3" s="148"/>
      <c r="AH3" s="148"/>
      <c r="AI3" s="148"/>
      <c r="AJ3" s="148"/>
    </row>
    <row r="4" spans="1:46" ht="13.5" customHeight="1" x14ac:dyDescent="0.25">
      <c r="D4" s="813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taux d'occupation réel</v>
      </c>
      <c r="AH5" s="527"/>
      <c r="AI5" s="830">
        <f>AN54</f>
        <v>1</v>
      </c>
      <c r="AJ5" s="830"/>
      <c r="AK5" s="388"/>
    </row>
    <row r="6" spans="1:46" ht="27.95" customHeight="1" x14ac:dyDescent="0.25">
      <c r="D6" s="174" t="str">
        <f>H_Label!$B$221 &amp;" "&amp;TEXT('fiche du personnel'!$U$1,"JJJJ")</f>
        <v>Contrôle des heures de travail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28" t="str">
        <f>'fiche du personnel'!$G$3</f>
        <v>Peinture Exemple SA</v>
      </c>
      <c r="Z6" s="828"/>
      <c r="AA6" s="828"/>
      <c r="AB6" s="828"/>
      <c r="AC6" s="828"/>
      <c r="AD6" s="828"/>
      <c r="AE6" s="828"/>
      <c r="AF6" s="828"/>
      <c r="AG6" s="828"/>
      <c r="AH6" s="828"/>
      <c r="AI6" s="828"/>
      <c r="AJ6" s="829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employé</v>
      </c>
      <c r="E8" s="31"/>
      <c r="F8" s="820" t="str">
        <f>'fiche du personnel'!$G$6</f>
        <v>Martin Dupont</v>
      </c>
      <c r="G8" s="821"/>
      <c r="H8" s="821"/>
      <c r="I8" s="821"/>
      <c r="J8" s="821"/>
      <c r="K8" s="822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occupation (%)</v>
      </c>
      <c r="E9" s="374"/>
      <c r="F9" s="823" cm="1">
        <f t="array" ref="F9">SUMPRODUCT((H_tblBGMnt=M_Monat)*H_tblBGavg)</f>
        <v>100</v>
      </c>
      <c r="G9" s="824"/>
      <c r="H9" s="825" t="str">
        <f>H_Label!B224&amp;" "&amp;D12</f>
        <v>en décembre</v>
      </c>
      <c r="I9" s="826"/>
      <c r="J9" s="826"/>
      <c r="K9" s="827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se pour l'année</v>
      </c>
      <c r="E10" s="89"/>
      <c r="F10" s="838">
        <f>DATE(A_Jahr,AM13,1)</f>
        <v>46357</v>
      </c>
      <c r="G10" s="839"/>
      <c r="H10" s="840">
        <f>'report annuel'!AF42</f>
        <v>-2016</v>
      </c>
      <c r="I10" s="841"/>
      <c r="J10" s="841"/>
      <c r="K10" s="842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11" t="s">
        <v>501</v>
      </c>
      <c r="D12" s="494" t="str">
        <f>TEXT($F$10,"MMMM"&amp;H_Label!$B$23)</f>
        <v>décembre</v>
      </c>
      <c r="E12" s="375"/>
      <c r="F12" s="843" t="str">
        <f>H_Label!B231</f>
        <v>se mois + / -</v>
      </c>
      <c r="G12" s="844"/>
      <c r="H12" s="844"/>
      <c r="I12" s="845"/>
      <c r="J12" s="846" cm="1">
        <f t="array" ref="J12">INDEX(H_dMNTCurrentSaldo,1,M_Monat)</f>
        <v>-168</v>
      </c>
      <c r="K12" s="847"/>
      <c r="L12" s="157"/>
      <c r="M12" s="158"/>
      <c r="N12" s="202"/>
      <c r="O12" s="159" t="str">
        <f>H_Label!B240</f>
        <v xml:space="preserve"> = </v>
      </c>
      <c r="P12" s="151" t="str">
        <f>H_Label!B241</f>
        <v>seules les cases/champs jaunes sont saisissables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11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12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11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1</v>
      </c>
      <c r="AI14" s="410">
        <f t="shared" si="0"/>
        <v>1</v>
      </c>
      <c r="AJ14" s="411">
        <f t="shared" si="0"/>
        <v>1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11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3</v>
      </c>
      <c r="AH15" s="418">
        <f t="shared" si="1"/>
        <v>3</v>
      </c>
      <c r="AI15" s="418">
        <f t="shared" si="1"/>
        <v>3</v>
      </c>
      <c r="AJ15" s="419">
        <f t="shared" si="1"/>
        <v>2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46357</v>
      </c>
      <c r="G16" s="422">
        <f>F$16+1</f>
        <v>46358</v>
      </c>
      <c r="H16" s="422">
        <f t="shared" ref="H16:AJ16" si="2">G$16+1</f>
        <v>46359</v>
      </c>
      <c r="I16" s="422">
        <f t="shared" si="2"/>
        <v>46360</v>
      </c>
      <c r="J16" s="422">
        <f t="shared" si="2"/>
        <v>46361</v>
      </c>
      <c r="K16" s="422">
        <f t="shared" si="2"/>
        <v>46362</v>
      </c>
      <c r="L16" s="423">
        <f t="shared" si="2"/>
        <v>46363</v>
      </c>
      <c r="M16" s="423">
        <f t="shared" si="2"/>
        <v>46364</v>
      </c>
      <c r="N16" s="424">
        <f t="shared" si="2"/>
        <v>46365</v>
      </c>
      <c r="O16" s="425">
        <f t="shared" si="2"/>
        <v>46366</v>
      </c>
      <c r="P16" s="425">
        <f t="shared" si="2"/>
        <v>46367</v>
      </c>
      <c r="Q16" s="425">
        <f t="shared" si="2"/>
        <v>46368</v>
      </c>
      <c r="R16" s="425">
        <f t="shared" si="2"/>
        <v>46369</v>
      </c>
      <c r="S16" s="425">
        <f t="shared" si="2"/>
        <v>46370</v>
      </c>
      <c r="T16" s="425">
        <f t="shared" si="2"/>
        <v>46371</v>
      </c>
      <c r="U16" s="425">
        <f t="shared" si="2"/>
        <v>46372</v>
      </c>
      <c r="V16" s="425">
        <f t="shared" si="2"/>
        <v>46373</v>
      </c>
      <c r="W16" s="425">
        <f t="shared" si="2"/>
        <v>46374</v>
      </c>
      <c r="X16" s="425">
        <f t="shared" si="2"/>
        <v>46375</v>
      </c>
      <c r="Y16" s="425">
        <f t="shared" si="2"/>
        <v>46376</v>
      </c>
      <c r="Z16" s="425">
        <f t="shared" si="2"/>
        <v>46377</v>
      </c>
      <c r="AA16" s="425">
        <f t="shared" si="2"/>
        <v>46378</v>
      </c>
      <c r="AB16" s="425">
        <f t="shared" si="2"/>
        <v>46379</v>
      </c>
      <c r="AC16" s="425">
        <f t="shared" si="2"/>
        <v>46380</v>
      </c>
      <c r="AD16" s="425">
        <f t="shared" si="2"/>
        <v>46381</v>
      </c>
      <c r="AE16" s="425">
        <f t="shared" si="2"/>
        <v>46382</v>
      </c>
      <c r="AF16" s="426">
        <f t="shared" si="2"/>
        <v>46383</v>
      </c>
      <c r="AG16" s="426">
        <f t="shared" si="2"/>
        <v>46384</v>
      </c>
      <c r="AH16" s="426">
        <f t="shared" si="2"/>
        <v>46385</v>
      </c>
      <c r="AI16" s="426">
        <f t="shared" si="2"/>
        <v>46386</v>
      </c>
      <c r="AJ16" s="427">
        <f t="shared" si="2"/>
        <v>46387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semaine civile</v>
      </c>
      <c r="E17" s="291"/>
      <c r="F17" s="205">
        <f>WEEKNUM(F$16,21)</f>
        <v>49</v>
      </c>
      <c r="G17" s="203">
        <f t="shared" ref="G17:AJ17" si="3">WEEKNUM(G$16,21)</f>
        <v>49</v>
      </c>
      <c r="H17" s="203">
        <f t="shared" si="3"/>
        <v>49</v>
      </c>
      <c r="I17" s="203">
        <f t="shared" si="3"/>
        <v>49</v>
      </c>
      <c r="J17" s="203">
        <f t="shared" si="3"/>
        <v>49</v>
      </c>
      <c r="K17" s="203">
        <f t="shared" si="3"/>
        <v>49</v>
      </c>
      <c r="L17" s="203">
        <f t="shared" si="3"/>
        <v>50</v>
      </c>
      <c r="M17" s="203">
        <f t="shared" si="3"/>
        <v>50</v>
      </c>
      <c r="N17" s="203">
        <f t="shared" si="3"/>
        <v>50</v>
      </c>
      <c r="O17" s="203">
        <f t="shared" si="3"/>
        <v>50</v>
      </c>
      <c r="P17" s="203">
        <f t="shared" si="3"/>
        <v>50</v>
      </c>
      <c r="Q17" s="203">
        <f t="shared" si="3"/>
        <v>50</v>
      </c>
      <c r="R17" s="203">
        <f t="shared" si="3"/>
        <v>50</v>
      </c>
      <c r="S17" s="203">
        <f t="shared" si="3"/>
        <v>51</v>
      </c>
      <c r="T17" s="203">
        <f t="shared" si="3"/>
        <v>51</v>
      </c>
      <c r="U17" s="203">
        <f t="shared" si="3"/>
        <v>51</v>
      </c>
      <c r="V17" s="203">
        <f t="shared" si="3"/>
        <v>51</v>
      </c>
      <c r="W17" s="203">
        <f t="shared" si="3"/>
        <v>51</v>
      </c>
      <c r="X17" s="203">
        <f t="shared" si="3"/>
        <v>51</v>
      </c>
      <c r="Y17" s="203">
        <f t="shared" si="3"/>
        <v>51</v>
      </c>
      <c r="Z17" s="203">
        <f t="shared" si="3"/>
        <v>52</v>
      </c>
      <c r="AA17" s="203">
        <f t="shared" si="3"/>
        <v>52</v>
      </c>
      <c r="AB17" s="203">
        <f t="shared" si="3"/>
        <v>52</v>
      </c>
      <c r="AC17" s="203">
        <f t="shared" si="3"/>
        <v>52</v>
      </c>
      <c r="AD17" s="203">
        <f t="shared" si="3"/>
        <v>52</v>
      </c>
      <c r="AE17" s="203">
        <f t="shared" si="3"/>
        <v>52</v>
      </c>
      <c r="AF17" s="203">
        <f t="shared" si="3"/>
        <v>52</v>
      </c>
      <c r="AG17" s="203">
        <f t="shared" si="3"/>
        <v>53</v>
      </c>
      <c r="AH17" s="203">
        <f t="shared" si="3"/>
        <v>53</v>
      </c>
      <c r="AI17" s="203">
        <f t="shared" si="3"/>
        <v>53</v>
      </c>
      <c r="AJ17" s="204">
        <f t="shared" si="3"/>
        <v>53</v>
      </c>
      <c r="AK17" s="398"/>
      <c r="AL17" s="114" cm="1">
        <f t="array" ref="AL17">SUM(IF(FREQUENCY(F17:AJ17,F17:AJ17)&gt;0,1))</f>
        <v>5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46357</v>
      </c>
      <c r="G18" s="28">
        <f t="shared" ref="G18:AJ18" si="4">IF(G14,G16,0)</f>
        <v>46358</v>
      </c>
      <c r="H18" s="27">
        <f t="shared" si="4"/>
        <v>46359</v>
      </c>
      <c r="I18" s="27">
        <f t="shared" si="4"/>
        <v>46360</v>
      </c>
      <c r="J18" s="27">
        <f t="shared" si="4"/>
        <v>46361</v>
      </c>
      <c r="K18" s="27">
        <f t="shared" si="4"/>
        <v>46362</v>
      </c>
      <c r="L18" s="27">
        <f t="shared" si="4"/>
        <v>46363</v>
      </c>
      <c r="M18" s="27">
        <f t="shared" si="4"/>
        <v>46364</v>
      </c>
      <c r="N18" s="27">
        <f t="shared" si="4"/>
        <v>46365</v>
      </c>
      <c r="O18" s="27">
        <f t="shared" si="4"/>
        <v>46366</v>
      </c>
      <c r="P18" s="27">
        <f t="shared" si="4"/>
        <v>46367</v>
      </c>
      <c r="Q18" s="27">
        <f t="shared" si="4"/>
        <v>46368</v>
      </c>
      <c r="R18" s="27">
        <f t="shared" si="4"/>
        <v>46369</v>
      </c>
      <c r="S18" s="27">
        <f t="shared" si="4"/>
        <v>46370</v>
      </c>
      <c r="T18" s="27">
        <f t="shared" si="4"/>
        <v>46371</v>
      </c>
      <c r="U18" s="27">
        <f t="shared" si="4"/>
        <v>46372</v>
      </c>
      <c r="V18" s="27">
        <f t="shared" si="4"/>
        <v>46373</v>
      </c>
      <c r="W18" s="27">
        <f t="shared" si="4"/>
        <v>46374</v>
      </c>
      <c r="X18" s="27">
        <f t="shared" si="4"/>
        <v>46375</v>
      </c>
      <c r="Y18" s="27">
        <f t="shared" si="4"/>
        <v>46376</v>
      </c>
      <c r="Z18" s="27">
        <f t="shared" si="4"/>
        <v>46377</v>
      </c>
      <c r="AA18" s="27">
        <f t="shared" si="4"/>
        <v>46378</v>
      </c>
      <c r="AB18" s="27">
        <f t="shared" si="4"/>
        <v>46379</v>
      </c>
      <c r="AC18" s="27">
        <f t="shared" si="4"/>
        <v>46380</v>
      </c>
      <c r="AD18" s="27">
        <f t="shared" si="4"/>
        <v>46381</v>
      </c>
      <c r="AE18" s="27">
        <f t="shared" si="4"/>
        <v>46382</v>
      </c>
      <c r="AF18" s="27">
        <f t="shared" si="4"/>
        <v>46383</v>
      </c>
      <c r="AG18" s="27">
        <f t="shared" si="4"/>
        <v>46384</v>
      </c>
      <c r="AH18" s="27">
        <f t="shared" si="4"/>
        <v>46385</v>
      </c>
      <c r="AI18" s="198">
        <f t="shared" si="4"/>
        <v>46386</v>
      </c>
      <c r="AJ18" s="198">
        <f t="shared" si="4"/>
        <v>46387</v>
      </c>
      <c r="AK18" s="399"/>
      <c r="AL18" s="115">
        <f>_xlfn.DAYS(EOMONTH($F$18,0),$F$18)+1</f>
        <v>31</v>
      </c>
      <c r="AM18" s="287">
        <f>AL19*A_fldSollTagStd</f>
        <v>184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mar.</v>
      </c>
      <c r="G19" s="92" t="str">
        <f>IF(G14=1,TEXT(G$18,H_Label!$B$24&amp;"TTT"),0)</f>
        <v>mer.</v>
      </c>
      <c r="H19" s="92" t="str">
        <f>IF(H14=1,TEXT(H$18,H_Label!$B$24&amp;"TTT"),0)</f>
        <v>jeu.</v>
      </c>
      <c r="I19" s="92" t="str">
        <f>IF(I14=1,TEXT(I$18,H_Label!$B$24&amp;"TTT"),0)</f>
        <v>ven.</v>
      </c>
      <c r="J19" s="92" t="str">
        <f>IF(J14=1,TEXT(J$18,H_Label!$B$24&amp;"TTT"),0)</f>
        <v>sam.</v>
      </c>
      <c r="K19" s="92" t="str">
        <f>IF(K14=1,TEXT(K$18,H_Label!$B$24&amp;"TTT"),0)</f>
        <v>dim.</v>
      </c>
      <c r="L19" s="92" t="str">
        <f>IF(L14=1,TEXT(L$18,H_Label!$B$24&amp;"TTT"),0)</f>
        <v>lun.</v>
      </c>
      <c r="M19" s="92" t="str">
        <f>IF(M14=1,TEXT(M$18,H_Label!$B$24&amp;"TTT"),0)</f>
        <v>mar.</v>
      </c>
      <c r="N19" s="92" t="str">
        <f>IF(N14=1,TEXT(N$18,H_Label!$B$24&amp;"TTT"),0)</f>
        <v>mer.</v>
      </c>
      <c r="O19" s="92" t="str">
        <f>IF(O14=1,TEXT(O$18,H_Label!$B$24&amp;"TTT"),0)</f>
        <v>jeu.</v>
      </c>
      <c r="P19" s="92" t="str">
        <f>IF(P14=1,TEXT(P$18,H_Label!$B$24&amp;"TTT"),0)</f>
        <v>ven.</v>
      </c>
      <c r="Q19" s="92" t="str">
        <f>IF(Q14=1,TEXT(Q$18,H_Label!$B$24&amp;"TTT"),0)</f>
        <v>sam.</v>
      </c>
      <c r="R19" s="92" t="str">
        <f>IF(R14=1,TEXT(R$18,H_Label!$B$24&amp;"TTT"),0)</f>
        <v>dim.</v>
      </c>
      <c r="S19" s="92" t="str">
        <f>IF(S14=1,TEXT(S$18,H_Label!$B$24&amp;"TTT"),0)</f>
        <v>lun.</v>
      </c>
      <c r="T19" s="92" t="str">
        <f>IF(T14=1,TEXT(T$18,H_Label!$B$24&amp;"TTT"),0)</f>
        <v>mar.</v>
      </c>
      <c r="U19" s="92" t="str">
        <f>IF(U14=1,TEXT(U$18,H_Label!$B$24&amp;"TTT"),0)</f>
        <v>mer.</v>
      </c>
      <c r="V19" s="92" t="str">
        <f>IF(V14=1,TEXT(V$18,H_Label!$B$24&amp;"TTT"),0)</f>
        <v>jeu.</v>
      </c>
      <c r="W19" s="92" t="str">
        <f>IF(W14=1,TEXT(W$18,H_Label!$B$24&amp;"TTT"),0)</f>
        <v>ven.</v>
      </c>
      <c r="X19" s="92" t="str">
        <f>IF(X14=1,TEXT(X$18,H_Label!$B$24&amp;"TTT"),0)</f>
        <v>sam.</v>
      </c>
      <c r="Y19" s="92" t="str">
        <f>IF(Y14=1,TEXT(Y$18,H_Label!$B$24&amp;"TTT"),0)</f>
        <v>dim.</v>
      </c>
      <c r="Z19" s="92" t="str">
        <f>IF(Z14=1,TEXT(Z$18,H_Label!$B$24&amp;"TTT"),0)</f>
        <v>lun.</v>
      </c>
      <c r="AA19" s="92" t="str">
        <f>IF(AA14=1,TEXT(AA$18,H_Label!$B$24&amp;"TTT"),0)</f>
        <v>mar.</v>
      </c>
      <c r="AB19" s="92" t="str">
        <f>IF(AB14=1,TEXT(AB$18,H_Label!$B$24&amp;"TTT"),0)</f>
        <v>mer.</v>
      </c>
      <c r="AC19" s="92" t="str">
        <f>IF(AC14=1,TEXT(AC$18,H_Label!$B$24&amp;"TTT"),0)</f>
        <v>jeu.</v>
      </c>
      <c r="AD19" s="92" t="str">
        <f>IF(AD14=1,TEXT(AD$18,H_Label!$B$24&amp;"TTT"),0)</f>
        <v>ven.</v>
      </c>
      <c r="AE19" s="92" t="str">
        <f>IF(AE14=1,TEXT(AE$18,H_Label!$B$24&amp;"TTT"),0)</f>
        <v>sam.</v>
      </c>
      <c r="AF19" s="92" t="str">
        <f>IF(AF14=1,TEXT(AF$18,H_Label!$B$24&amp;"TTT"),0)</f>
        <v>dim.</v>
      </c>
      <c r="AG19" s="92" t="str">
        <f>IF(AG14=1,TEXT(AG$18,H_Label!$B$24&amp;"TTT"),0)</f>
        <v>lun.</v>
      </c>
      <c r="AH19" s="92" t="str">
        <f>IF(AH14=1,TEXT(AH$18,H_Label!$B$24&amp;"TTT"),0)</f>
        <v>mar.</v>
      </c>
      <c r="AI19" s="92" t="str">
        <f>IF(AI14=1,TEXT(AI$18,H_Label!$B$24&amp;"TTT"),0)</f>
        <v>mer.</v>
      </c>
      <c r="AJ19" s="92" t="str">
        <f>IF(AJ14=1,TEXT(AJ$18,H_Label!$B$24&amp;"TTT"),0)</f>
        <v>jeu.</v>
      </c>
      <c r="AK19" s="400"/>
      <c r="AL19" s="117">
        <f>NETWORKDAYS($F$18,EOMONTH($F$18,0))</f>
        <v>23</v>
      </c>
      <c r="AM19" s="288">
        <f>SUM(F20:AJ20)</f>
        <v>184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heures théorique</v>
      </c>
      <c r="E20" s="19"/>
      <c r="F20" s="26" cm="1">
        <f t="array" ref="F20">IF(OR(F14=0,F54="x"),0,A_fldSollTagStd*SUMPRODUCT((H_tblBGTage=WEEKDAY(F16,2))*(H_tblBGMnt=M_Monat)*H_tblBG%))</f>
        <v>8</v>
      </c>
      <c r="G20" s="26" cm="1">
        <f t="array" ref="G20">IF(OR(G14=0,G54="x"),0,A_fldSollTagStd*SUMPRODUCT((H_tblBGTage=WEEKDAY(G16,2))*(H_tblBGMnt=M_Monat)*H_tblBG%))</f>
        <v>8</v>
      </c>
      <c r="H20" s="26" cm="1">
        <f t="array" ref="H20">IF(OR(H14=0,H54="x"),0,A_fldSollTagStd*SUMPRODUCT((H_tblBGTage=WEEKDAY(H16,2))*(H_tblBGMnt=M_Monat)*H_tblBG%))</f>
        <v>8</v>
      </c>
      <c r="I20" s="26" cm="1">
        <f t="array" ref="I20">IF(OR(I14=0,I54="x"),0,A_fldSollTagStd*SUMPRODUCT((H_tblBGTage=WEEKDAY(I16,2))*(H_tblBGMnt=M_Monat)*H_tblBG%))</f>
        <v>8</v>
      </c>
      <c r="J20" s="26" cm="1">
        <f t="array" ref="J20">IF(OR(J14=0,J54="x"),0,A_fldSollTagStd*SUMPRODUCT((H_tblBGTage=WEEKDAY(J16,2))*(H_tblBGMnt=M_Monat)*H_tblBG%))</f>
        <v>0</v>
      </c>
      <c r="K20" s="26" cm="1">
        <f t="array" ref="K20">IF(OR(K14=0,K54="x"),0,A_fldSollTagStd*SUMPRODUCT((H_tblBGTage=WEEKDAY(K16,2))*(H_tblBGMnt=M_Monat)*H_tblBG%))</f>
        <v>0</v>
      </c>
      <c r="L20" s="26" cm="1">
        <f t="array" ref="L20">IF(OR(L14=0,L54="x"),0,A_fldSollTagStd*SUMPRODUCT((H_tblBGTage=WEEKDAY(L16,2))*(H_tblBGMnt=M_Monat)*H_tblBG%))</f>
        <v>8</v>
      </c>
      <c r="M20" s="26" cm="1">
        <f t="array" ref="M20">IF(OR(M14=0,M54="x"),0,A_fldSollTagStd*SUMPRODUCT((H_tblBGTage=WEEKDAY(M16,2))*(H_tblBGMnt=M_Monat)*H_tblBG%))</f>
        <v>8</v>
      </c>
      <c r="N20" s="26" cm="1">
        <f t="array" ref="N20">IF(OR(N14=0,N54="x"),0,A_fldSollTagStd*SUMPRODUCT((H_tblBGTage=WEEKDAY(N16,2))*(H_tblBGMnt=M_Monat)*H_tblBG%))</f>
        <v>8</v>
      </c>
      <c r="O20" s="26" cm="1">
        <f t="array" ref="O20">IF(OR(O14=0,O54="x"),0,A_fldSollTagStd*SUMPRODUCT((H_tblBGTage=WEEKDAY(O16,2))*(H_tblBGMnt=M_Monat)*H_tblBG%))</f>
        <v>8</v>
      </c>
      <c r="P20" s="26" cm="1">
        <f t="array" ref="P20">IF(OR(P14=0,P54="x"),0,A_fldSollTagStd*SUMPRODUCT((H_tblBGTage=WEEKDAY(P16,2))*(H_tblBGMnt=M_Monat)*H_tblBG%))</f>
        <v>8</v>
      </c>
      <c r="Q20" s="26" cm="1">
        <f t="array" ref="Q20">IF(OR(Q14=0,Q54="x"),0,A_fldSollTagStd*SUMPRODUCT((H_tblBGTage=WEEKDAY(Q16,2))*(H_tblBGMnt=M_Monat)*H_tblBG%))</f>
        <v>0</v>
      </c>
      <c r="R20" s="26" cm="1">
        <f t="array" ref="R20">IF(OR(R14=0,R54="x"),0,A_fldSollTagStd*SUMPRODUCT((H_tblBGTage=WEEKDAY(R16,2))*(H_tblBGMnt=M_Monat)*H_tblBG%))</f>
        <v>0</v>
      </c>
      <c r="S20" s="26" cm="1">
        <f t="array" ref="S20">IF(OR(S14=0,S54="x"),0,A_fldSollTagStd*SUMPRODUCT((H_tblBGTage=WEEKDAY(S16,2))*(H_tblBGMnt=M_Monat)*H_tblBG%))</f>
        <v>8</v>
      </c>
      <c r="T20" s="26" cm="1">
        <f t="array" ref="T20">IF(OR(T14=0,T54="x"),0,A_fldSollTagStd*SUMPRODUCT((H_tblBGTage=WEEKDAY(T16,2))*(H_tblBGMnt=M_Monat)*H_tblBG%))</f>
        <v>8</v>
      </c>
      <c r="U20" s="26" cm="1">
        <f t="array" ref="U20">IF(OR(U14=0,U54="x"),0,A_fldSollTagStd*SUMPRODUCT((H_tblBGTage=WEEKDAY(U16,2))*(H_tblBGMnt=M_Monat)*H_tblBG%))</f>
        <v>8</v>
      </c>
      <c r="V20" s="26" cm="1">
        <f t="array" ref="V20">IF(OR(V14=0,V54="x"),0,A_fldSollTagStd*SUMPRODUCT((H_tblBGTage=WEEKDAY(V16,2))*(H_tblBGMnt=M_Monat)*H_tblBG%))</f>
        <v>8</v>
      </c>
      <c r="W20" s="26" cm="1">
        <f t="array" ref="W20">IF(OR(W14=0,W54="x"),0,A_fldSollTagStd*SUMPRODUCT((H_tblBGTage=WEEKDAY(W16,2))*(H_tblBGMnt=M_Monat)*H_tblBG%))</f>
        <v>8</v>
      </c>
      <c r="X20" s="26" cm="1">
        <f t="array" ref="X20">IF(OR(X14=0,X54="x"),0,A_fldSollTagStd*SUMPRODUCT((H_tblBGTage=WEEKDAY(X16,2))*(H_tblBGMnt=M_Monat)*H_tblBG%))</f>
        <v>0</v>
      </c>
      <c r="Y20" s="26" cm="1">
        <f t="array" ref="Y20">IF(OR(Y14=0,Y54="x"),0,A_fldSollTagStd*SUMPRODUCT((H_tblBGTage=WEEKDAY(Y16,2))*(H_tblBGMnt=M_Monat)*H_tblBG%))</f>
        <v>0</v>
      </c>
      <c r="Z20" s="26" cm="1">
        <f t="array" ref="Z20">IF(OR(Z14=0,Z54="x"),0,A_fldSollTagStd*SUMPRODUCT((H_tblBGTage=WEEKDAY(Z16,2))*(H_tblBGMnt=M_Monat)*H_tblBG%))</f>
        <v>8</v>
      </c>
      <c r="AA20" s="26" cm="1">
        <f t="array" ref="AA20">IF(OR(AA14=0,AA54="x"),0,A_fldSollTagStd*SUMPRODUCT((H_tblBGTage=WEEKDAY(AA16,2))*(H_tblBGMnt=M_Monat)*H_tblBG%))</f>
        <v>8</v>
      </c>
      <c r="AB20" s="26" cm="1">
        <f t="array" ref="AB20">IF(OR(AB14=0,AB54="x"),0,A_fldSollTagStd*SUMPRODUCT((H_tblBGTage=WEEKDAY(AB16,2))*(H_tblBGMnt=M_Monat)*H_tblBG%))</f>
        <v>8</v>
      </c>
      <c r="AC20" s="26" cm="1">
        <f t="array" ref="AC20">IF(OR(AC14=0,AC54="x"),0,A_fldSollTagStd*SUMPRODUCT((H_tblBGTage=WEEKDAY(AC16,2))*(H_tblBGMnt=M_Monat)*H_tblBG%))</f>
        <v>8</v>
      </c>
      <c r="AD20" s="26" cm="1">
        <f t="array" ref="AD20">IF(OR(AD14=0,AD54="x"),0,A_fldSollTagStd*SUMPRODUCT((H_tblBGTage=WEEKDAY(AD16,2))*(H_tblBGMnt=M_Monat)*H_tblBG%))</f>
        <v>8</v>
      </c>
      <c r="AE20" s="26" cm="1">
        <f t="array" ref="AE20">IF(OR(AE14=0,AE54="x"),0,A_fldSollTagStd*SUMPRODUCT((H_tblBGTage=WEEKDAY(AE16,2))*(H_tblBGMnt=M_Monat)*H_tblBG%))</f>
        <v>0</v>
      </c>
      <c r="AF20" s="26" cm="1">
        <f t="array" ref="AF20">IF(OR(AF14=0,AF54="x"),0,A_fldSollTagStd*SUMPRODUCT((H_tblBGTage=WEEKDAY(AF16,2))*(H_tblBGMnt=M_Monat)*H_tblBG%))</f>
        <v>0</v>
      </c>
      <c r="AG20" s="26" cm="1">
        <f t="array" ref="AG20">IF(OR(AG14=0,AG54="x"),0,A_fldSollTagStd*SUMPRODUCT((H_tblBGTage=WEEKDAY(AG16,2))*(H_tblBGMnt=M_Monat)*H_tblBG%))</f>
        <v>8</v>
      </c>
      <c r="AH20" s="26" cm="1">
        <f t="array" ref="AH20">IF(OR(AH14=0,AH54="x"),0,A_fldSollTagStd*SUMPRODUCT((H_tblBGTage=WEEKDAY(AH16,2))*(H_tblBGMnt=M_Monat)*H_tblBG%))</f>
        <v>8</v>
      </c>
      <c r="AI20" s="199" cm="1">
        <f t="array" ref="AI20">IF(OR(AI14=0,AI54="x"),0,A_fldSollTagStd*SUMPRODUCT((H_tblBGTage=WEEKDAY(AI16,2))*(H_tblBGMnt=M_Monat)*H_tblBG%))</f>
        <v>8</v>
      </c>
      <c r="AJ20" s="199" cm="1">
        <f t="array" ref="AJ20">IF(OR(AJ14=0,AJ54="x"),0,A_fldSollTagStd*SUMPRODUCT((H_tblBGTage=WEEKDAY(AJ16,2))*(H_tblBGMnt=M_Monat)*H_tblBG%))</f>
        <v>8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jours fériés</v>
      </c>
      <c r="E21" s="20"/>
      <c r="F21" s="195" t="str" cm="1">
        <f t="array" ref="F21">INDEX(H_Calendar!$K$10:$K$375,MATCH(1,INDEX((H_Calendar!$E$10:$E$375=M_Monat)*(H_Calendar!$H$10:$H$375=DAY(F$18)),0,1),0))</f>
        <v/>
      </c>
      <c r="G21" s="195" t="str" cm="1">
        <f t="array" ref="G21">INDEX(H_Calendar!$K$10:$K$375,MATCH(1,INDEX((H_Calendar!$E$10:$E$375=M_Monat)*(H_Calendar!$H$10:$H$375=DAY(G$18)),0,1),0))</f>
        <v/>
      </c>
      <c r="H21" s="195" t="str" cm="1">
        <f t="array" ref="H21">INDEX(H_Calendar!$K$10:$K$375,MATCH(1,INDEX((H_Calendar!$E$10:$E$375=M_Monat)*(H_Calendar!$H$10:$H$375=DAY(H$18)),0,1),0))</f>
        <v/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/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/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>ft</v>
      </c>
      <c r="AD21" s="195" t="str" cm="1">
        <f t="array" ref="AD21">INDEX(H_Calendar!$K$10:$K$375,MATCH(1,INDEX((H_Calendar!$E$10:$E$375=M_Monat)*(H_Calendar!$H$10:$H$375=DAY(AD$18)),0,1),0))</f>
        <v>ft</v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16</v>
      </c>
      <c r="AM21" s="320">
        <f>COUNTIF(F21:AJ21,"ft")</f>
        <v>2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heures productives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x14ac:dyDescent="0.2">
      <c r="A25" s="252"/>
      <c r="B25" s="438"/>
      <c r="C25" s="252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customHeight="1" x14ac:dyDescent="0.2">
      <c r="A26" s="252"/>
      <c r="B26" s="438"/>
      <c r="C26" s="252">
        <v>4</v>
      </c>
      <c r="D26" s="606" t="str">
        <f>H_Label!B313</f>
        <v>temps de trajet (total)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déduction de temps de trajet = 0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total journalier y c. temp de trajet payé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total hebdomadaire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9" s="143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9" s="144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0</v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crédits et majorations</v>
      </c>
      <c r="E30" s="87"/>
      <c r="F30" s="145" t="str">
        <f>H_Label!B264</f>
        <v>1)  25% majoration temporelle pour depassement les heures maximales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majoration temporelle pour travail de nuit</v>
      </c>
      <c r="Q30" s="145"/>
      <c r="R30" s="145"/>
      <c r="S30" s="145"/>
      <c r="T30" s="145"/>
      <c r="U30" s="145"/>
      <c r="V30" s="145"/>
      <c r="W30" s="145" t="str">
        <f>H_Label!B266</f>
        <v>3) 100% majoration temporelle pour travail du dimanche et jour férié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Majoration  "jf"</v>
      </c>
      <c r="E31" s="23"/>
      <c r="F31" s="24">
        <f t="shared" ref="F31:AG31" si="8">IF(F21="ft",F20,0)</f>
        <v>0</v>
      </c>
      <c r="G31" s="24">
        <f t="shared" si="8"/>
        <v>0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0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8</v>
      </c>
      <c r="AD31" s="24">
        <f t="shared" si="8"/>
        <v>8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16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Majorations temp.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/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/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Majorations temp.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Majorations temp.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>
        <f>H_Label!B273</f>
        <v>0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vacances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compensation année passée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42" si="11">SUM(F37:AJ37)</f>
        <v>0</v>
      </c>
      <c r="AM37" s="292">
        <f t="shared" ref="AM37:AM42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compensation année en cours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absences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maladie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accident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absences de grossesse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Congé de maternité/paternité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militaire/promotion/protection civile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ref="AL44:AL50" si="13">SUM(F44:AJ44)</f>
        <v>0</v>
      </c>
      <c r="AM44" s="292">
        <f t="shared" ref="AM44:AM50" si="14">COUNT(F44:AJ44)</f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école professionelle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3"/>
        <v>0</v>
      </c>
      <c r="AM45" s="292">
        <f t="shared" si="14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cours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3"/>
        <v>0</v>
      </c>
      <c r="AM46" s="292">
        <f t="shared" si="14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chômage partiel et intempéries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3"/>
        <v>0</v>
      </c>
      <c r="AM47" s="292">
        <f t="shared" si="14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arrêts définis par l'entreprise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3"/>
        <v>0</v>
      </c>
      <c r="AM48" s="292">
        <f t="shared" si="14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vacances non payées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3"/>
        <v>0</v>
      </c>
      <c r="AM49" s="292">
        <f t="shared" si="14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heures manquantes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3"/>
        <v>0</v>
      </c>
      <c r="AM50" s="292">
        <f t="shared" si="14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heures inproductives totales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5">ROUND(SUM(H39:H48),4)</f>
        <v>0</v>
      </c>
      <c r="I51" s="433">
        <f t="shared" si="15"/>
        <v>0</v>
      </c>
      <c r="J51" s="433">
        <f t="shared" si="15"/>
        <v>0</v>
      </c>
      <c r="K51" s="433">
        <f t="shared" si="15"/>
        <v>0</v>
      </c>
      <c r="L51" s="433">
        <f t="shared" si="15"/>
        <v>0</v>
      </c>
      <c r="M51" s="433">
        <f t="shared" si="15"/>
        <v>0</v>
      </c>
      <c r="N51" s="433">
        <f t="shared" si="15"/>
        <v>0</v>
      </c>
      <c r="O51" s="433">
        <f t="shared" si="15"/>
        <v>0</v>
      </c>
      <c r="P51" s="433">
        <f t="shared" si="15"/>
        <v>0</v>
      </c>
      <c r="Q51" s="433">
        <f t="shared" si="15"/>
        <v>0</v>
      </c>
      <c r="R51" s="433">
        <f t="shared" si="15"/>
        <v>0</v>
      </c>
      <c r="S51" s="433">
        <f t="shared" si="15"/>
        <v>0</v>
      </c>
      <c r="T51" s="433">
        <f t="shared" si="15"/>
        <v>0</v>
      </c>
      <c r="U51" s="433">
        <f t="shared" si="15"/>
        <v>0</v>
      </c>
      <c r="V51" s="433">
        <f t="shared" si="15"/>
        <v>0</v>
      </c>
      <c r="W51" s="433">
        <f t="shared" si="15"/>
        <v>0</v>
      </c>
      <c r="X51" s="433">
        <f t="shared" si="15"/>
        <v>0</v>
      </c>
      <c r="Y51" s="433">
        <f t="shared" si="15"/>
        <v>0</v>
      </c>
      <c r="Z51" s="433">
        <f t="shared" si="15"/>
        <v>0</v>
      </c>
      <c r="AA51" s="433">
        <f t="shared" si="15"/>
        <v>0</v>
      </c>
      <c r="AB51" s="433">
        <f t="shared" si="15"/>
        <v>0</v>
      </c>
      <c r="AC51" s="433">
        <f t="shared" si="15"/>
        <v>0</v>
      </c>
      <c r="AD51" s="433">
        <f t="shared" si="15"/>
        <v>0</v>
      </c>
      <c r="AE51" s="433">
        <f t="shared" si="15"/>
        <v>0</v>
      </c>
      <c r="AF51" s="433">
        <f t="shared" si="15"/>
        <v>0</v>
      </c>
      <c r="AG51" s="433">
        <f t="shared" si="15"/>
        <v>0</v>
      </c>
      <c r="AH51" s="433">
        <f t="shared" si="15"/>
        <v>0</v>
      </c>
      <c r="AI51" s="433">
        <f t="shared" si="15"/>
        <v>0</v>
      </c>
      <c r="AJ51" s="434">
        <f t="shared" si="15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contrôle et corrections</v>
      </c>
      <c r="E52" s="87"/>
      <c r="F52" s="146"/>
      <c r="G52" s="147" t="str">
        <f>H_Label!B292</f>
        <v>veuillez cocher les jours de correction avec "x"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jour de carence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exclure jour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23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corrections manuelles</v>
      </c>
      <c r="E56" s="149"/>
      <c r="F56" s="150" t="str">
        <f>H_Label!B298</f>
        <v>heures payées se année passée</v>
      </c>
      <c r="G56" s="150"/>
      <c r="H56" s="150"/>
      <c r="I56" s="150"/>
      <c r="J56" s="150"/>
      <c r="K56" s="835"/>
      <c r="L56" s="836"/>
      <c r="M56" s="837"/>
      <c r="N56" s="148"/>
      <c r="O56" s="148"/>
      <c r="P56" s="150" t="str">
        <f>H_Label!B299</f>
        <v>heures payées année en cours (heures supplémentaires)</v>
      </c>
      <c r="Q56" s="148"/>
      <c r="R56" s="148"/>
      <c r="S56" s="148"/>
      <c r="T56" s="148"/>
      <c r="U56" s="148"/>
      <c r="V56" s="148"/>
      <c r="W56" s="835"/>
      <c r="X56" s="836"/>
      <c r="Y56" s="837"/>
      <c r="Z56" s="148"/>
      <c r="AA56" s="150"/>
      <c r="AB56" s="148"/>
      <c r="AC56" s="148"/>
      <c r="AD56" s="150" t="str">
        <f>H_Label!B300</f>
        <v>vacances avoir / déduction</v>
      </c>
      <c r="AE56" s="150"/>
      <c r="AF56" s="150"/>
      <c r="AG56" s="150"/>
      <c r="AH56" s="835"/>
      <c r="AI56" s="836"/>
      <c r="AJ56" s="837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remarques</v>
      </c>
      <c r="E58" s="152"/>
      <c r="F58" s="814"/>
      <c r="G58" s="815"/>
      <c r="H58" s="815"/>
      <c r="I58" s="815"/>
      <c r="J58" s="815"/>
      <c r="K58" s="815"/>
      <c r="L58" s="815"/>
      <c r="M58" s="815"/>
      <c r="N58" s="815"/>
      <c r="O58" s="815"/>
      <c r="P58" s="815"/>
      <c r="Q58" s="815"/>
      <c r="R58" s="815"/>
      <c r="S58" s="815"/>
      <c r="T58" s="815"/>
      <c r="U58" s="815"/>
      <c r="V58" s="815"/>
      <c r="W58" s="815"/>
      <c r="X58" s="815"/>
      <c r="Y58" s="815"/>
      <c r="Z58" s="815"/>
      <c r="AA58" s="815"/>
      <c r="AB58" s="815"/>
      <c r="AC58" s="815"/>
      <c r="AD58" s="815"/>
      <c r="AE58" s="815"/>
      <c r="AF58" s="815"/>
      <c r="AG58" s="815"/>
      <c r="AH58" s="815"/>
      <c r="AI58" s="815"/>
      <c r="AJ58" s="816"/>
      <c r="AK58" s="396"/>
    </row>
    <row r="59" spans="1:46" ht="12" customHeight="1" x14ac:dyDescent="0.25">
      <c r="D59" s="153"/>
      <c r="E59" s="153"/>
      <c r="F59" s="817"/>
      <c r="G59" s="818"/>
      <c r="H59" s="818"/>
      <c r="I59" s="818"/>
      <c r="J59" s="818"/>
      <c r="K59" s="818"/>
      <c r="L59" s="818"/>
      <c r="M59" s="818"/>
      <c r="N59" s="818"/>
      <c r="O59" s="818"/>
      <c r="P59" s="818"/>
      <c r="Q59" s="818"/>
      <c r="R59" s="818"/>
      <c r="S59" s="818"/>
      <c r="T59" s="818"/>
      <c r="U59" s="818"/>
      <c r="V59" s="818"/>
      <c r="W59" s="818"/>
      <c r="X59" s="818"/>
      <c r="Y59" s="818"/>
      <c r="Z59" s="818"/>
      <c r="AA59" s="818"/>
      <c r="AB59" s="818"/>
      <c r="AC59" s="818"/>
      <c r="AD59" s="818"/>
      <c r="AE59" s="818"/>
      <c r="AF59" s="818"/>
      <c r="AG59" s="818"/>
      <c r="AH59" s="818"/>
      <c r="AI59" s="818"/>
      <c r="AJ59" s="819"/>
      <c r="AK59" s="396"/>
    </row>
    <row r="60" spans="1:46" ht="12" customHeight="1" x14ac:dyDescent="0.25">
      <c r="D60" s="154"/>
      <c r="E60" s="154"/>
      <c r="F60" s="832"/>
      <c r="G60" s="833"/>
      <c r="H60" s="833"/>
      <c r="I60" s="833"/>
      <c r="J60" s="833"/>
      <c r="K60" s="833"/>
      <c r="L60" s="833"/>
      <c r="M60" s="833"/>
      <c r="N60" s="833"/>
      <c r="O60" s="833"/>
      <c r="P60" s="833"/>
      <c r="Q60" s="833"/>
      <c r="R60" s="833"/>
      <c r="S60" s="833"/>
      <c r="T60" s="833"/>
      <c r="U60" s="833"/>
      <c r="V60" s="833"/>
      <c r="W60" s="833"/>
      <c r="X60" s="833"/>
      <c r="Y60" s="833"/>
      <c r="Z60" s="833"/>
      <c r="AA60" s="833"/>
      <c r="AB60" s="833"/>
      <c r="AC60" s="833"/>
      <c r="AD60" s="833"/>
      <c r="AE60" s="833"/>
      <c r="AF60" s="833"/>
      <c r="AG60" s="833"/>
      <c r="AH60" s="833"/>
      <c r="AI60" s="833"/>
      <c r="AJ60" s="834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J'ai contrôlé les comptes mensuels et vérifié leur exactitude.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09"/>
      <c r="G63" s="809"/>
      <c r="H63" s="809"/>
      <c r="I63" s="809"/>
      <c r="J63" s="809"/>
      <c r="K63" s="809"/>
      <c r="L63" s="809"/>
      <c r="M63" s="809"/>
      <c r="V63" s="809"/>
      <c r="W63" s="809"/>
      <c r="X63" s="809"/>
      <c r="Y63" s="809"/>
      <c r="Z63" s="809"/>
      <c r="AA63" s="809"/>
      <c r="AB63" s="809"/>
      <c r="AC63" s="809"/>
      <c r="AH63" s="809"/>
      <c r="AI63" s="809"/>
      <c r="AJ63" s="809"/>
    </row>
    <row r="64" spans="1:46" ht="15.75" x14ac:dyDescent="0.25">
      <c r="D64" s="156" t="str">
        <f>H_Label!B306</f>
        <v>visa employé</v>
      </c>
      <c r="E64" s="156"/>
      <c r="F64" s="810"/>
      <c r="G64" s="810"/>
      <c r="H64" s="810"/>
      <c r="I64" s="810"/>
      <c r="J64" s="810"/>
      <c r="K64" s="810"/>
      <c r="L64" s="810"/>
      <c r="M64" s="810"/>
      <c r="N64" s="156"/>
      <c r="O64" s="148"/>
      <c r="P64" s="156" t="str">
        <f>H_Label!B307</f>
        <v>visa supérieur hiérarchique</v>
      </c>
      <c r="Q64" s="148"/>
      <c r="R64" s="15"/>
      <c r="S64" s="156"/>
      <c r="T64" s="156"/>
      <c r="U64" s="156"/>
      <c r="V64" s="810"/>
      <c r="W64" s="810"/>
      <c r="X64" s="810"/>
      <c r="Y64" s="810"/>
      <c r="Z64" s="810"/>
      <c r="AA64" s="810"/>
      <c r="AB64" s="810"/>
      <c r="AC64" s="810"/>
      <c r="AD64" s="148"/>
      <c r="AE64" s="15"/>
      <c r="AF64" s="156" t="str">
        <f>H_Label!B308</f>
        <v>date</v>
      </c>
      <c r="AG64" s="15"/>
      <c r="AH64" s="810"/>
      <c r="AI64" s="810"/>
      <c r="AJ64" s="810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I1drrAOoQuMJqNC+b8BFsFHLnZw9XEXlr6VRjRDzBq/YY9466QLUncNwLoA4+egKSyaT2XGlqq5hJAiodPvcjA==" saltValue="PVTTsEDlhbPnWjwoMNk3fA==" spinCount="100000" sheet="1" objects="1" scenarios="1"/>
  <mergeCells count="23">
    <mergeCell ref="F63:M64"/>
    <mergeCell ref="V63:AC64"/>
    <mergeCell ref="AH63:AJ64"/>
    <mergeCell ref="K56:M56"/>
    <mergeCell ref="W56:Y56"/>
    <mergeCell ref="AH56:AJ56"/>
    <mergeCell ref="F58:AJ58"/>
    <mergeCell ref="F59:AJ59"/>
    <mergeCell ref="F60:AJ60"/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</mergeCells>
  <conditionalFormatting sqref="D37:AJ37">
    <cfRule type="expression" dxfId="26" priority="14">
      <formula>AND(M_Monat&gt;4,M_Monat&lt;10)</formula>
    </cfRule>
    <cfRule type="expression" dxfId="25" priority="15">
      <formula>M_Monat&gt;=10</formula>
    </cfRule>
  </conditionalFormatting>
  <conditionalFormatting sqref="E15:AK15">
    <cfRule type="expression" dxfId="24" priority="9">
      <formula>E$15=2</formula>
    </cfRule>
  </conditionalFormatting>
  <conditionalFormatting sqref="F17:AJ17">
    <cfRule type="expression" dxfId="23" priority="12">
      <formula>OR(AND(DAY(F$16)&lt;&gt;1,WEEKDAY(F$16,2)&lt;&gt;1),F$14=0)</formula>
    </cfRule>
    <cfRule type="expression" dxfId="22" priority="13">
      <formula>OR(F$15=2,AND(F$14=1,WEEKDAY(F$16,2)=7))</formula>
    </cfRule>
  </conditionalFormatting>
  <conditionalFormatting sqref="F18:AJ21 F23:AJ28 F31:AJ31 F33:AJ34 F36:AJ51 F53:AJ54">
    <cfRule type="expression" dxfId="21" priority="17">
      <formula>F$21="ft"</formula>
    </cfRule>
  </conditionalFormatting>
  <conditionalFormatting sqref="F18:AJ21 F23:AJ29 F31:AJ34 F36:AJ51 F53:AJ54">
    <cfRule type="expression" dxfId="20" priority="8">
      <formula>AND(F$14=0,$B18=0)</formula>
    </cfRule>
  </conditionalFormatting>
  <conditionalFormatting sqref="F28:AJ29 F32:AJ32">
    <cfRule type="expression" dxfId="19" priority="10">
      <formula>OR(WEEKDAY(F$16,2)=7,F$15=2)</formula>
    </cfRule>
  </conditionalFormatting>
  <conditionalFormatting sqref="F36:AJ51 F53:AJ54 F18:AJ21 F23:AJ28 F31:AJ31 F33:AJ34">
    <cfRule type="expression" dxfId="18" priority="16">
      <formula>WEEKDAY(F$18,2)=7</formula>
    </cfRule>
    <cfRule type="expression" dxfId="17" priority="18">
      <formula>WEEKDAY(F$18,2)=6</formula>
    </cfRule>
  </conditionalFormatting>
  <conditionalFormatting sqref="F53:AJ54">
    <cfRule type="containsText" dxfId="16" priority="11" operator="containsText" text="x">
      <formula>NOT(ISERROR(SEARCH("x",F53)))</formula>
    </cfRule>
  </conditionalFormatting>
  <conditionalFormatting sqref="J3:L3">
    <cfRule type="expression" dxfId="15" priority="1">
      <formula>B_fldSaldoVJ=0</formula>
    </cfRule>
  </conditionalFormatting>
  <conditionalFormatting sqref="AB3:AD3">
    <cfRule type="expression" dxfId="12" priority="2">
      <formula>H_fldFerienEndSaldo&lt;0</formula>
    </cfRule>
  </conditionalFormatting>
  <conditionalFormatting sqref="AG18:AJ21 AG23:AJ29 AG31:AJ34 AG36:AJ51 AG53:AJ54">
    <cfRule type="expression" dxfId="11" priority="6">
      <formula>AND(AG$14=0,$B18&lt;&gt;0)</formula>
    </cfRule>
    <cfRule type="expression" dxfId="10" priority="7">
      <formula>AG$15=2</formula>
    </cfRule>
  </conditionalFormatting>
  <conditionalFormatting sqref="AJ17:AJ21 AJ23:AJ29 AJ31:AJ34 AJ36:AJ51 AJ53:AJ54">
    <cfRule type="expression" dxfId="9" priority="5">
      <formula>AK$15="m"</formula>
    </cfRule>
  </conditionalFormatting>
  <dataValidations count="11"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E05A8542-43A1-4D3B-9E32-DA4111539071}">
      <formula1>-4000</formula1>
      <formula2>24</formula2>
    </dataValidation>
    <dataValidation type="custom" operator="greaterThanOrEqual" showErrorMessage="1" errorTitle="Karenztag" error="Zuerst Stunden im Feld &quot;Krankheit&quot; erfassen!" sqref="F53:AJ53" xr:uid="{20BC50EE-7266-4AD6-9529-6D39A18A4B88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3B6DB1C9-A7E0-4990-AA14-6580D3B606BF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FD7EA4D1-A2D1-4994-BE3E-59347BD54C46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7D300F22-C677-4607-A044-6533FF594A22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BD905CF9-D8D1-408F-AA97-A0EA6405AF41}"/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539AE288-CD7F-4911-A569-690979D5D685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38D6C323-1172-4D29-82F6-392C8E287E8A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847F7EAA-D066-4FCF-8E9F-CE2874A9EE50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C1505D3D-2F49-44C0-9DCD-D155AA87AC15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9:AK50" xr:uid="{AB694C8E-2FA4-43B5-9478-06F096BC66A7}">
      <formula1>-4000</formula1>
    </dataValidation>
  </dataValidations>
  <hyperlinks>
    <hyperlink ref="AJ12" location="Jahresauswertung!H3" display="." xr:uid="{4C6DCE77-1C51-428E-AF0B-7AA36BD7FF5B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4904212-30C4-4B72-AEA4-0368F55F0C56}">
            <xm:f>'report annuel'!$X$34=0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88728699-E414-4045-B746-3D68032E464A}">
            <xm:f>'report annuel'!$X$34&lt;0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07588-720B-4C54-9EDA-887FE4AEE902}">
  <sheetPr codeName="tsYear">
    <tabColor rgb="FFC00000"/>
    <pageSetUpPr fitToPage="1"/>
  </sheetPr>
  <dimension ref="A1:AI60"/>
  <sheetViews>
    <sheetView showGridLines="0" showZeros="0" topLeftCell="B1" zoomScale="120" zoomScaleNormal="120" zoomScaleSheetLayoutView="100" workbookViewId="0">
      <pane ySplit="1" topLeftCell="A2" activePane="bottomLeft" state="frozen"/>
      <selection activeCell="R27" sqref="R27"/>
      <selection pane="bottomLeft" activeCell="H11" sqref="H11:I11"/>
    </sheetView>
  </sheetViews>
  <sheetFormatPr baseColWidth="10" defaultColWidth="0" defaultRowHeight="12.95" customHeight="1" x14ac:dyDescent="0.25"/>
  <cols>
    <col min="1" max="1" width="3.140625" style="5" hidden="1" customWidth="1"/>
    <col min="2" max="2" width="23.7109375" style="4" customWidth="1"/>
    <col min="3" max="7" width="4.7109375" style="4" customWidth="1"/>
    <col min="8" max="33" width="4.85546875" style="4" customWidth="1"/>
    <col min="34" max="34" width="10.42578125" style="9" customWidth="1"/>
    <col min="35" max="35" width="12.28515625" style="5" bestFit="1" customWidth="1"/>
    <col min="36" max="36" width="29.5703125" style="5" customWidth="1"/>
    <col min="37" max="49" width="6.7109375" style="5" customWidth="1"/>
    <col min="50" max="50" width="7.28515625" style="5" customWidth="1"/>
    <col min="51" max="51" width="8.140625" style="5" customWidth="1"/>
    <col min="52" max="62" width="11.42578125" style="5" customWidth="1"/>
    <col min="63" max="63" width="3.140625" style="5" customWidth="1"/>
    <col min="64" max="16384" width="0" style="5" hidden="1"/>
  </cols>
  <sheetData>
    <row r="1" spans="2:34" ht="49.5" customHeight="1" x14ac:dyDescent="0.25">
      <c r="B1" s="1039"/>
      <c r="C1" s="1040"/>
      <c r="D1" s="1040"/>
      <c r="E1" s="1038"/>
      <c r="F1" s="1038"/>
      <c r="G1" s="1038"/>
      <c r="H1" s="1038"/>
      <c r="I1" s="1038"/>
      <c r="J1" s="1038"/>
      <c r="K1" s="1038"/>
      <c r="L1" s="1038"/>
      <c r="M1" s="1038"/>
      <c r="N1" s="1038"/>
      <c r="O1" s="1038"/>
      <c r="P1" s="1038"/>
      <c r="Q1" s="1038"/>
      <c r="R1" s="1038"/>
      <c r="S1" s="1038"/>
      <c r="T1" s="1038"/>
      <c r="U1" s="1038"/>
      <c r="V1" s="1038"/>
      <c r="W1" s="1038"/>
      <c r="X1" s="1038"/>
      <c r="Y1" s="1038"/>
      <c r="Z1" s="1038"/>
      <c r="AA1" s="1038"/>
      <c r="AB1" s="1038"/>
      <c r="AC1" s="36"/>
      <c r="AD1" s="36"/>
      <c r="AE1" s="36"/>
      <c r="AF1" s="36"/>
      <c r="AG1" s="36"/>
      <c r="AH1" s="481"/>
    </row>
    <row r="2" spans="2:34" ht="20.45" customHeight="1" x14ac:dyDescent="0.25"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481"/>
    </row>
    <row r="3" spans="2:34" ht="23.25" x14ac:dyDescent="0.25">
      <c r="B3" s="63" t="str">
        <f>H_Label!B321</f>
        <v xml:space="preserve">Contrôle des heures pour </v>
      </c>
      <c r="C3" s="64"/>
      <c r="D3" s="64"/>
      <c r="E3" s="64"/>
      <c r="F3" s="64"/>
      <c r="G3" s="65"/>
      <c r="H3" s="1041" t="str">
        <f>H_Label!B322&amp;" "&amp; A_Jahr</f>
        <v>Report annuel 2026</v>
      </c>
      <c r="I3" s="1042"/>
      <c r="J3" s="1042"/>
      <c r="K3" s="1042"/>
      <c r="L3" s="1042"/>
      <c r="M3" s="1042"/>
      <c r="N3" s="1042"/>
      <c r="O3" s="1042"/>
      <c r="P3" s="1042"/>
      <c r="Q3" s="1042"/>
      <c r="R3" s="1042"/>
      <c r="S3" s="1042"/>
      <c r="T3" s="1042"/>
      <c r="U3" s="454"/>
      <c r="V3" s="1047" t="str">
        <f>'fiche du personnel'!$G$3</f>
        <v>Peinture Exemple SA</v>
      </c>
      <c r="W3" s="1047"/>
      <c r="X3" s="1047"/>
      <c r="Y3" s="1047"/>
      <c r="Z3" s="1047"/>
      <c r="AA3" s="1047"/>
      <c r="AB3" s="1047"/>
      <c r="AC3" s="1047"/>
      <c r="AD3" s="1047"/>
      <c r="AE3" s="32"/>
      <c r="AF3" s="32"/>
      <c r="AG3" s="61"/>
      <c r="AH3" s="481"/>
    </row>
    <row r="4" spans="2:34" ht="15.6" customHeight="1" x14ac:dyDescent="0.2">
      <c r="B4" s="1050" t="str">
        <f>'fiche du personnel'!G6</f>
        <v>Martin Dupont</v>
      </c>
      <c r="C4" s="1051"/>
      <c r="D4" s="1051"/>
      <c r="E4" s="1051"/>
      <c r="F4" s="1051"/>
      <c r="G4" s="1052"/>
      <c r="H4" s="1043"/>
      <c r="I4" s="1044"/>
      <c r="J4" s="1044"/>
      <c r="K4" s="1044"/>
      <c r="L4" s="1044"/>
      <c r="M4" s="1044"/>
      <c r="N4" s="1044"/>
      <c r="O4" s="1044"/>
      <c r="P4" s="1044"/>
      <c r="Q4" s="1044"/>
      <c r="R4" s="1044"/>
      <c r="S4" s="1044"/>
      <c r="T4" s="1044"/>
      <c r="U4" s="455"/>
      <c r="V4" s="1048"/>
      <c r="W4" s="1048"/>
      <c r="X4" s="1048"/>
      <c r="Y4" s="1048"/>
      <c r="Z4" s="1048"/>
      <c r="AA4" s="1048"/>
      <c r="AB4" s="1048"/>
      <c r="AC4" s="1048"/>
      <c r="AD4" s="1048"/>
      <c r="AE4" s="165"/>
      <c r="AF4" s="165"/>
      <c r="AG4" s="166"/>
      <c r="AH4" s="481"/>
    </row>
    <row r="5" spans="2:34" ht="15.6" customHeight="1" x14ac:dyDescent="0.2">
      <c r="B5" s="1053"/>
      <c r="C5" s="1054"/>
      <c r="D5" s="1054"/>
      <c r="E5" s="1054"/>
      <c r="F5" s="1054"/>
      <c r="G5" s="1055"/>
      <c r="H5" s="1045"/>
      <c r="I5" s="1046"/>
      <c r="J5" s="1046"/>
      <c r="K5" s="1046"/>
      <c r="L5" s="1046"/>
      <c r="M5" s="1046"/>
      <c r="N5" s="1046"/>
      <c r="O5" s="1046"/>
      <c r="P5" s="1046"/>
      <c r="Q5" s="1046"/>
      <c r="R5" s="1046"/>
      <c r="S5" s="1046"/>
      <c r="T5" s="1046"/>
      <c r="U5" s="456"/>
      <c r="V5" s="1049"/>
      <c r="W5" s="1049"/>
      <c r="X5" s="1049"/>
      <c r="Y5" s="1049"/>
      <c r="Z5" s="1049"/>
      <c r="AA5" s="1049"/>
      <c r="AB5" s="1049"/>
      <c r="AC5" s="1049"/>
      <c r="AD5" s="1049"/>
      <c r="AE5" s="457"/>
      <c r="AF5" s="457"/>
      <c r="AG5" s="458"/>
      <c r="AH5" s="481"/>
    </row>
    <row r="6" spans="2:34" ht="12.75" customHeight="1" x14ac:dyDescent="0.2">
      <c r="B6" s="1058" t="str">
        <f>H_Label!B325</f>
        <v>Résumé</v>
      </c>
      <c r="C6" s="1059"/>
      <c r="D6" s="1059"/>
      <c r="E6" s="1059"/>
      <c r="F6" s="1059"/>
      <c r="G6" s="1060"/>
      <c r="H6" s="1034" t="str">
        <f>H_Label!B72</f>
        <v>jan</v>
      </c>
      <c r="I6" s="1035"/>
      <c r="J6" s="1034" t="str">
        <f>H_Label!B73</f>
        <v>fév</v>
      </c>
      <c r="K6" s="1035"/>
      <c r="L6" s="1034" t="str">
        <f>H_Label!B74</f>
        <v>mar</v>
      </c>
      <c r="M6" s="1035"/>
      <c r="N6" s="1034" t="str">
        <f>H_Label!B75</f>
        <v>avr</v>
      </c>
      <c r="O6" s="1035"/>
      <c r="P6" s="1034" t="str">
        <f>H_Label!B76</f>
        <v>mai</v>
      </c>
      <c r="Q6" s="1035"/>
      <c r="R6" s="1034" t="str">
        <f>H_Label!B77</f>
        <v>jun</v>
      </c>
      <c r="S6" s="1035"/>
      <c r="T6" s="1034" t="str">
        <f>H_Label!B78</f>
        <v>jul</v>
      </c>
      <c r="U6" s="1035"/>
      <c r="V6" s="1034" t="str">
        <f>H_Label!B79</f>
        <v>aoû</v>
      </c>
      <c r="W6" s="1035"/>
      <c r="X6" s="1034" t="str">
        <f>H_Label!B80</f>
        <v>sep</v>
      </c>
      <c r="Y6" s="1035"/>
      <c r="Z6" s="1034" t="str">
        <f>H_Label!B81</f>
        <v>oct</v>
      </c>
      <c r="AA6" s="1035"/>
      <c r="AB6" s="1034" t="str">
        <f>H_Label!B82</f>
        <v>nov</v>
      </c>
      <c r="AC6" s="1035"/>
      <c r="AD6" s="1034" t="str">
        <f>H_Label!B83</f>
        <v>déc</v>
      </c>
      <c r="AE6" s="1035"/>
      <c r="AF6" s="1029" t="str">
        <f>H_Label!B49</f>
        <v>an</v>
      </c>
      <c r="AG6" s="1030"/>
      <c r="AH6" s="13"/>
    </row>
    <row r="7" spans="2:34" ht="17.100000000000001" customHeight="1" x14ac:dyDescent="0.2">
      <c r="B7" s="487" t="str">
        <f>H_Label!B328</f>
        <v>taux d'occupation (%)</v>
      </c>
      <c r="C7" s="1056"/>
      <c r="D7" s="1056"/>
      <c r="E7" s="1056"/>
      <c r="F7" s="1056"/>
      <c r="G7" s="1057"/>
      <c r="H7" s="1031">
        <f>H_MNT!$J$48</f>
        <v>1</v>
      </c>
      <c r="I7" s="1032"/>
      <c r="J7" s="1033">
        <f>H_MNT!$K$48</f>
        <v>1</v>
      </c>
      <c r="K7" s="1032"/>
      <c r="L7" s="1033">
        <f>H_MNT!$L$48</f>
        <v>1</v>
      </c>
      <c r="M7" s="1032"/>
      <c r="N7" s="1033">
        <f>H_MNT!$M$48</f>
        <v>1</v>
      </c>
      <c r="O7" s="1032"/>
      <c r="P7" s="1033">
        <f>H_MNT!$N$48</f>
        <v>1</v>
      </c>
      <c r="Q7" s="1032"/>
      <c r="R7" s="1033">
        <f>H_MNT!$O$48</f>
        <v>1</v>
      </c>
      <c r="S7" s="1032"/>
      <c r="T7" s="1033">
        <f>H_MNT!$P$48</f>
        <v>1</v>
      </c>
      <c r="U7" s="1032"/>
      <c r="V7" s="1033">
        <f>H_MNT!$Q$48</f>
        <v>1</v>
      </c>
      <c r="W7" s="1032"/>
      <c r="X7" s="1033">
        <f>H_MNT!$R$48</f>
        <v>1</v>
      </c>
      <c r="Y7" s="1032"/>
      <c r="Z7" s="1033">
        <f>H_MNT!$S$48</f>
        <v>1</v>
      </c>
      <c r="AA7" s="1032"/>
      <c r="AB7" s="1033">
        <f>H_MNT!$T$48</f>
        <v>1</v>
      </c>
      <c r="AC7" s="1032"/>
      <c r="AD7" s="1033">
        <f>H_MNT!$U$48</f>
        <v>1</v>
      </c>
      <c r="AE7" s="1032"/>
      <c r="AF7" s="1036">
        <f>SUM(H7:AE7)/12</f>
        <v>1</v>
      </c>
      <c r="AG7" s="1037"/>
      <c r="AH7" s="13"/>
    </row>
    <row r="8" spans="2:34" ht="12" customHeight="1" x14ac:dyDescent="0.2">
      <c r="B8" s="981" t="str">
        <f>H_Label!B331</f>
        <v>Heures théoriques selon CCT</v>
      </c>
      <c r="C8" s="982"/>
      <c r="D8" s="982"/>
      <c r="E8" s="982"/>
      <c r="F8" s="982"/>
      <c r="G8" s="983"/>
      <c r="H8" s="1028">
        <f>H_MNT!$J$60</f>
        <v>176</v>
      </c>
      <c r="I8" s="1023"/>
      <c r="J8" s="1022">
        <f>H_MNT!$K$60</f>
        <v>160</v>
      </c>
      <c r="K8" s="1023"/>
      <c r="L8" s="1022">
        <f>H_MNT!$L$60</f>
        <v>176</v>
      </c>
      <c r="M8" s="1023"/>
      <c r="N8" s="1022">
        <f>H_MNT!$M$60</f>
        <v>176</v>
      </c>
      <c r="O8" s="1023"/>
      <c r="P8" s="1022">
        <f>H_MNT!$N$60</f>
        <v>168</v>
      </c>
      <c r="Q8" s="1023"/>
      <c r="R8" s="1022">
        <f>H_MNT!$O$60</f>
        <v>176</v>
      </c>
      <c r="S8" s="1023"/>
      <c r="T8" s="1022">
        <f>H_MNT!$P$60</f>
        <v>184</v>
      </c>
      <c r="U8" s="1023"/>
      <c r="V8" s="1022">
        <f>H_MNT!$Q$60</f>
        <v>168</v>
      </c>
      <c r="W8" s="1023"/>
      <c r="X8" s="1022">
        <f>H_MNT!$R$60</f>
        <v>176</v>
      </c>
      <c r="Y8" s="1023"/>
      <c r="Z8" s="1022">
        <f>H_MNT!$S$60</f>
        <v>176</v>
      </c>
      <c r="AA8" s="1023"/>
      <c r="AB8" s="1022">
        <f>H_MNT!$T$60</f>
        <v>168</v>
      </c>
      <c r="AC8" s="1023"/>
      <c r="AD8" s="1022">
        <f>H_MNT!$U$60</f>
        <v>184</v>
      </c>
      <c r="AE8" s="1023"/>
      <c r="AF8" s="1024">
        <f>SUM(H8:AE8)</f>
        <v>2088</v>
      </c>
      <c r="AG8" s="1025"/>
      <c r="AH8" s="13"/>
    </row>
    <row r="9" spans="2:34" ht="12" customHeight="1" x14ac:dyDescent="0.2">
      <c r="B9" s="459" t="str">
        <f>H_Label!B333</f>
        <v>Total heures productives</v>
      </c>
      <c r="C9" s="995" t="str">
        <f>H_Label!B334</f>
        <v>travail de jour 06.00 - 20.00h</v>
      </c>
      <c r="D9" s="995"/>
      <c r="E9" s="995"/>
      <c r="F9" s="995"/>
      <c r="G9" s="1017"/>
      <c r="H9" s="1018">
        <f>H_MNT!J82</f>
        <v>0</v>
      </c>
      <c r="I9" s="1016"/>
      <c r="J9" s="1015">
        <f>H_MNT!K82</f>
        <v>0</v>
      </c>
      <c r="K9" s="1016"/>
      <c r="L9" s="1015">
        <f>H_MNT!L82</f>
        <v>0</v>
      </c>
      <c r="M9" s="1016"/>
      <c r="N9" s="1015">
        <f>H_MNT!M82</f>
        <v>0</v>
      </c>
      <c r="O9" s="1016"/>
      <c r="P9" s="1015">
        <f>H_MNT!N82</f>
        <v>0</v>
      </c>
      <c r="Q9" s="1016"/>
      <c r="R9" s="1015">
        <f>H_MNT!O82</f>
        <v>0</v>
      </c>
      <c r="S9" s="1016"/>
      <c r="T9" s="1015">
        <f>H_MNT!P82</f>
        <v>0</v>
      </c>
      <c r="U9" s="1016"/>
      <c r="V9" s="1015">
        <f>H_MNT!Q82</f>
        <v>0</v>
      </c>
      <c r="W9" s="1016"/>
      <c r="X9" s="1015">
        <f>H_MNT!R82</f>
        <v>0</v>
      </c>
      <c r="Y9" s="1016"/>
      <c r="Z9" s="1015">
        <f>H_MNT!S82</f>
        <v>0</v>
      </c>
      <c r="AA9" s="1016"/>
      <c r="AB9" s="1015">
        <f>H_MNT!T82</f>
        <v>0</v>
      </c>
      <c r="AC9" s="1016"/>
      <c r="AD9" s="1015">
        <f>H_MNT!U82</f>
        <v>0</v>
      </c>
      <c r="AE9" s="1016"/>
      <c r="AF9" s="988">
        <f>H_MNT!V82</f>
        <v>0</v>
      </c>
      <c r="AG9" s="989"/>
      <c r="AH9" s="13"/>
    </row>
    <row r="10" spans="2:34" ht="12" customHeight="1" x14ac:dyDescent="0.2">
      <c r="B10" s="594">
        <f>H_Label!B335</f>
        <v>0</v>
      </c>
      <c r="C10" s="1026" t="str">
        <f>H_Label!B336</f>
        <v>travail de nuit 20.00 - 06.00h</v>
      </c>
      <c r="D10" s="1026"/>
      <c r="E10" s="1026"/>
      <c r="F10" s="1026"/>
      <c r="G10" s="1027"/>
      <c r="H10" s="1021">
        <f>H_MNT!J81</f>
        <v>0</v>
      </c>
      <c r="I10" s="858"/>
      <c r="J10" s="857">
        <f>H_MNT!K81</f>
        <v>0</v>
      </c>
      <c r="K10" s="858"/>
      <c r="L10" s="857">
        <f>H_MNT!L81</f>
        <v>0</v>
      </c>
      <c r="M10" s="858"/>
      <c r="N10" s="857">
        <f>H_MNT!M81</f>
        <v>0</v>
      </c>
      <c r="O10" s="858"/>
      <c r="P10" s="857">
        <f>H_MNT!N81</f>
        <v>0</v>
      </c>
      <c r="Q10" s="858"/>
      <c r="R10" s="857">
        <f>H_MNT!O81</f>
        <v>0</v>
      </c>
      <c r="S10" s="858"/>
      <c r="T10" s="857">
        <f>H_MNT!P81</f>
        <v>0</v>
      </c>
      <c r="U10" s="858"/>
      <c r="V10" s="857">
        <f>H_MNT!Q81</f>
        <v>0</v>
      </c>
      <c r="W10" s="858"/>
      <c r="X10" s="857">
        <f>H_MNT!R81</f>
        <v>0</v>
      </c>
      <c r="Y10" s="858"/>
      <c r="Z10" s="857">
        <f>H_MNT!S81</f>
        <v>0</v>
      </c>
      <c r="AA10" s="858"/>
      <c r="AB10" s="857">
        <f>H_MNT!T81</f>
        <v>0</v>
      </c>
      <c r="AC10" s="858"/>
      <c r="AD10" s="857">
        <f>H_MNT!U81</f>
        <v>0</v>
      </c>
      <c r="AE10" s="858"/>
      <c r="AF10" s="859">
        <f>H_MNT!V81</f>
        <v>0</v>
      </c>
      <c r="AG10" s="860"/>
      <c r="AH10" s="13"/>
    </row>
    <row r="11" spans="2:34" ht="12" customHeight="1" x14ac:dyDescent="0.2">
      <c r="B11" s="598" t="s">
        <v>294</v>
      </c>
      <c r="C11" s="861" t="str">
        <f>H_Label!B313</f>
        <v>temps de trajet (total)</v>
      </c>
      <c r="D11" s="861"/>
      <c r="E11" s="861"/>
      <c r="F11" s="861"/>
      <c r="G11" s="862"/>
      <c r="H11" s="863">
        <f>H_MNT!J83</f>
        <v>0</v>
      </c>
      <c r="I11" s="864"/>
      <c r="J11" s="865">
        <f>H_MNT!K83</f>
        <v>0</v>
      </c>
      <c r="K11" s="864"/>
      <c r="L11" s="865">
        <f>H_MNT!L83</f>
        <v>0</v>
      </c>
      <c r="M11" s="864"/>
      <c r="N11" s="848">
        <f>H_MNT!M83</f>
        <v>0</v>
      </c>
      <c r="O11" s="849"/>
      <c r="P11" s="848">
        <f>H_MNT!N83</f>
        <v>0</v>
      </c>
      <c r="Q11" s="849"/>
      <c r="R11" s="848">
        <f>H_MNT!O83</f>
        <v>0</v>
      </c>
      <c r="S11" s="849"/>
      <c r="T11" s="848">
        <f>H_MNT!P83</f>
        <v>0</v>
      </c>
      <c r="U11" s="849"/>
      <c r="V11" s="848">
        <f>H_MNT!Q83</f>
        <v>0</v>
      </c>
      <c r="W11" s="849"/>
      <c r="X11" s="848">
        <f>H_MNT!R83</f>
        <v>0</v>
      </c>
      <c r="Y11" s="849"/>
      <c r="Z11" s="848">
        <f>H_MNT!S83</f>
        <v>0</v>
      </c>
      <c r="AA11" s="849"/>
      <c r="AB11" s="848">
        <f>H_MNT!T83</f>
        <v>0</v>
      </c>
      <c r="AC11" s="849"/>
      <c r="AD11" s="848">
        <f>H_MNT!U83</f>
        <v>0</v>
      </c>
      <c r="AE11" s="849"/>
      <c r="AF11" s="850">
        <f>H_MNT!V83</f>
        <v>0</v>
      </c>
      <c r="AG11" s="851"/>
      <c r="AH11" s="13"/>
    </row>
    <row r="12" spans="2:34" ht="12" customHeight="1" x14ac:dyDescent="0.2">
      <c r="B12" s="608" t="s">
        <v>294</v>
      </c>
      <c r="C12" s="852" t="str">
        <f>H_Label!B314</f>
        <v>déduction de temps de trajet</v>
      </c>
      <c r="D12" s="852"/>
      <c r="E12" s="852"/>
      <c r="F12" s="852"/>
      <c r="G12" s="853"/>
      <c r="H12" s="854">
        <f>H_MNT!J84</f>
        <v>0</v>
      </c>
      <c r="I12" s="855"/>
      <c r="J12" s="856">
        <f>H_MNT!K84</f>
        <v>0</v>
      </c>
      <c r="K12" s="855"/>
      <c r="L12" s="856">
        <f>H_MNT!L84</f>
        <v>0</v>
      </c>
      <c r="M12" s="855"/>
      <c r="N12" s="857">
        <f>H_MNT!M84</f>
        <v>0</v>
      </c>
      <c r="O12" s="858"/>
      <c r="P12" s="857">
        <f>H_MNT!N84</f>
        <v>0</v>
      </c>
      <c r="Q12" s="858"/>
      <c r="R12" s="857">
        <f>H_MNT!O84</f>
        <v>0</v>
      </c>
      <c r="S12" s="858"/>
      <c r="T12" s="857">
        <f>H_MNT!P84</f>
        <v>0</v>
      </c>
      <c r="U12" s="858"/>
      <c r="V12" s="857">
        <f>H_MNT!Q84</f>
        <v>0</v>
      </c>
      <c r="W12" s="858"/>
      <c r="X12" s="857">
        <f>H_MNT!R84</f>
        <v>0</v>
      </c>
      <c r="Y12" s="858"/>
      <c r="Z12" s="857">
        <f>H_MNT!S84</f>
        <v>0</v>
      </c>
      <c r="AA12" s="858"/>
      <c r="AB12" s="857">
        <f>H_MNT!T84</f>
        <v>0</v>
      </c>
      <c r="AC12" s="858"/>
      <c r="AD12" s="857">
        <f>H_MNT!U84</f>
        <v>0</v>
      </c>
      <c r="AE12" s="858"/>
      <c r="AF12" s="859">
        <f>H_MNT!V84</f>
        <v>0</v>
      </c>
      <c r="AG12" s="860"/>
      <c r="AH12" s="13"/>
    </row>
    <row r="13" spans="2:34" ht="12" customHeight="1" x14ac:dyDescent="0.2">
      <c r="B13" s="609" t="s">
        <v>294</v>
      </c>
      <c r="C13" s="1019" t="str">
        <f>H_Label!B315</f>
        <v>Total</v>
      </c>
      <c r="D13" s="1019"/>
      <c r="E13" s="1019"/>
      <c r="F13" s="1019"/>
      <c r="G13" s="1020"/>
      <c r="H13" s="1021">
        <f>SUM(H9:I11)-H12</f>
        <v>0</v>
      </c>
      <c r="I13" s="858"/>
      <c r="J13" s="1021">
        <f t="shared" ref="J13" si="0">SUM(J9:K11)-J12</f>
        <v>0</v>
      </c>
      <c r="K13" s="858"/>
      <c r="L13" s="1021">
        <f t="shared" ref="L13" si="1">SUM(L9:M11)-L12</f>
        <v>0</v>
      </c>
      <c r="M13" s="858"/>
      <c r="N13" s="1021">
        <f t="shared" ref="N13" si="2">SUM(N9:O11)-N12</f>
        <v>0</v>
      </c>
      <c r="O13" s="858"/>
      <c r="P13" s="1021">
        <f t="shared" ref="P13" si="3">SUM(P9:Q11)-P12</f>
        <v>0</v>
      </c>
      <c r="Q13" s="858"/>
      <c r="R13" s="1021">
        <f t="shared" ref="R13" si="4">SUM(R9:S11)-R12</f>
        <v>0</v>
      </c>
      <c r="S13" s="858"/>
      <c r="T13" s="1021">
        <f t="shared" ref="T13" si="5">SUM(T9:U11)-T12</f>
        <v>0</v>
      </c>
      <c r="U13" s="858"/>
      <c r="V13" s="1021">
        <f t="shared" ref="V13" si="6">SUM(V9:W11)-V12</f>
        <v>0</v>
      </c>
      <c r="W13" s="858"/>
      <c r="X13" s="1021">
        <f t="shared" ref="X13" si="7">SUM(X9:Y11)-X12</f>
        <v>0</v>
      </c>
      <c r="Y13" s="858"/>
      <c r="Z13" s="1021">
        <f t="shared" ref="Z13" si="8">SUM(Z9:AA11)-Z12</f>
        <v>0</v>
      </c>
      <c r="AA13" s="858"/>
      <c r="AB13" s="1021">
        <f t="shared" ref="AB13" si="9">SUM(AB9:AC11)-AB12</f>
        <v>0</v>
      </c>
      <c r="AC13" s="858"/>
      <c r="AD13" s="1021">
        <f t="shared" ref="AD13" si="10">SUM(AD9:AE11)-AD12</f>
        <v>0</v>
      </c>
      <c r="AE13" s="858"/>
      <c r="AF13" s="859">
        <f>SUM(H13:AE13)</f>
        <v>0</v>
      </c>
      <c r="AG13" s="860"/>
      <c r="AH13" s="13"/>
    </row>
    <row r="14" spans="2:34" ht="12" customHeight="1" x14ac:dyDescent="0.2">
      <c r="B14" s="459" t="str">
        <f>H_Label!B338</f>
        <v>Majorations temporelles</v>
      </c>
      <c r="C14" s="995" t="str">
        <f>H_Label!B339</f>
        <v>depassement des heures maximales</v>
      </c>
      <c r="D14" s="995"/>
      <c r="E14" s="995"/>
      <c r="F14" s="995"/>
      <c r="G14" s="1017"/>
      <c r="H14" s="1018">
        <f>H_MNT!J124</f>
        <v>0</v>
      </c>
      <c r="I14" s="1016"/>
      <c r="J14" s="1015">
        <f>H_MNT!K124</f>
        <v>0</v>
      </c>
      <c r="K14" s="1016"/>
      <c r="L14" s="1015">
        <f>H_MNT!L124</f>
        <v>0</v>
      </c>
      <c r="M14" s="1016"/>
      <c r="N14" s="1015">
        <f>H_MNT!M124</f>
        <v>0</v>
      </c>
      <c r="O14" s="1016"/>
      <c r="P14" s="1015">
        <f>H_MNT!N124</f>
        <v>0</v>
      </c>
      <c r="Q14" s="1016"/>
      <c r="R14" s="1015">
        <f>H_MNT!O124</f>
        <v>0</v>
      </c>
      <c r="S14" s="1016"/>
      <c r="T14" s="1015">
        <f>H_MNT!P124</f>
        <v>0</v>
      </c>
      <c r="U14" s="1016"/>
      <c r="V14" s="1015">
        <f>H_MNT!Q124</f>
        <v>0</v>
      </c>
      <c r="W14" s="1016"/>
      <c r="X14" s="1015">
        <f>H_MNT!R124</f>
        <v>0</v>
      </c>
      <c r="Y14" s="1016"/>
      <c r="Z14" s="1015">
        <f>H_MNT!S124</f>
        <v>0</v>
      </c>
      <c r="AA14" s="1016"/>
      <c r="AB14" s="1015">
        <f>H_MNT!T124</f>
        <v>0</v>
      </c>
      <c r="AC14" s="1016"/>
      <c r="AD14" s="1015">
        <f>H_MNT!U124</f>
        <v>0</v>
      </c>
      <c r="AE14" s="1016"/>
      <c r="AF14" s="988">
        <f>SUM(H14:AE14)</f>
        <v>0</v>
      </c>
      <c r="AG14" s="989"/>
      <c r="AH14" s="13"/>
    </row>
    <row r="15" spans="2:34" ht="12" customHeight="1" x14ac:dyDescent="0.2">
      <c r="B15" s="460">
        <f>H_Label!B340</f>
        <v>0</v>
      </c>
      <c r="C15" s="984" t="str">
        <f>H_Label!B341</f>
        <v>nuit, dimanche et jour férié</v>
      </c>
      <c r="D15" s="984"/>
      <c r="E15" s="984"/>
      <c r="F15" s="984"/>
      <c r="G15" s="985"/>
      <c r="H15" s="1014">
        <f>SUM(H_MNT!J126,H_MNT!J127)</f>
        <v>0</v>
      </c>
      <c r="I15" s="919"/>
      <c r="J15" s="918">
        <f>SUM(H_MNT!K126,H_MNT!K127)</f>
        <v>0</v>
      </c>
      <c r="K15" s="919"/>
      <c r="L15" s="918">
        <f>SUM(H_MNT!L126,H_MNT!L127)</f>
        <v>0</v>
      </c>
      <c r="M15" s="919"/>
      <c r="N15" s="918">
        <f>SUM(H_MNT!M126,H_MNT!M127)</f>
        <v>0</v>
      </c>
      <c r="O15" s="919"/>
      <c r="P15" s="918">
        <f>SUM(H_MNT!N126,H_MNT!N127)</f>
        <v>0</v>
      </c>
      <c r="Q15" s="919"/>
      <c r="R15" s="918">
        <f>SUM(H_MNT!O126,H_MNT!O127)</f>
        <v>0</v>
      </c>
      <c r="S15" s="919"/>
      <c r="T15" s="918">
        <f>SUM(H_MNT!P126,H_MNT!P127)</f>
        <v>0</v>
      </c>
      <c r="U15" s="919"/>
      <c r="V15" s="918">
        <f>SUM(H_MNT!Q126,H_MNT!Q127)</f>
        <v>0</v>
      </c>
      <c r="W15" s="919"/>
      <c r="X15" s="918">
        <f>SUM(H_MNT!R126,H_MNT!R127)</f>
        <v>0</v>
      </c>
      <c r="Y15" s="919"/>
      <c r="Z15" s="918">
        <f>SUM(H_MNT!S126,H_MNT!S127)</f>
        <v>0</v>
      </c>
      <c r="AA15" s="919"/>
      <c r="AB15" s="918">
        <f>SUM(H_MNT!T126,H_MNT!T127)</f>
        <v>0</v>
      </c>
      <c r="AC15" s="919"/>
      <c r="AD15" s="918">
        <f>SUM(H_MNT!U126,H_MNT!U127)</f>
        <v>0</v>
      </c>
      <c r="AE15" s="919"/>
      <c r="AF15" s="930">
        <f>SUM(H15:AE15)</f>
        <v>0</v>
      </c>
      <c r="AG15" s="931"/>
      <c r="AH15" s="13"/>
    </row>
    <row r="16" spans="2:34" ht="12" customHeight="1" x14ac:dyDescent="0.2">
      <c r="B16" s="932" t="str">
        <f>H_Label!B343</f>
        <v>Heures inproductives</v>
      </c>
      <c r="C16" s="933"/>
      <c r="D16" s="933"/>
      <c r="E16" s="933"/>
      <c r="F16" s="933"/>
      <c r="G16" s="934"/>
      <c r="H16" s="1013"/>
      <c r="I16" s="1012"/>
      <c r="J16" s="1011"/>
      <c r="K16" s="1012"/>
      <c r="L16" s="1011"/>
      <c r="M16" s="1012"/>
      <c r="N16" s="1011"/>
      <c r="O16" s="1012"/>
      <c r="P16" s="1011"/>
      <c r="Q16" s="1012"/>
      <c r="R16" s="1011"/>
      <c r="S16" s="1012"/>
      <c r="T16" s="1011"/>
      <c r="U16" s="1012"/>
      <c r="V16" s="1011"/>
      <c r="W16" s="1012"/>
      <c r="X16" s="1011"/>
      <c r="Y16" s="1012"/>
      <c r="Z16" s="1011"/>
      <c r="AA16" s="1012"/>
      <c r="AB16" s="1011"/>
      <c r="AC16" s="1012"/>
      <c r="AD16" s="1011"/>
      <c r="AE16" s="1012"/>
      <c r="AF16" s="1061"/>
      <c r="AG16" s="1062"/>
      <c r="AH16" s="13"/>
    </row>
    <row r="17" spans="2:34" ht="12" customHeight="1" x14ac:dyDescent="0.2">
      <c r="B17" s="986" t="str">
        <f>H_Label!B345</f>
        <v>Jours fériés art. 12.2 CCT</v>
      </c>
      <c r="C17" s="987"/>
      <c r="D17" s="559" t="str">
        <f>IF(h_fldAnZFT&gt;9,H_Label!$B$346,"")</f>
        <v/>
      </c>
      <c r="E17" s="559"/>
      <c r="F17" s="559"/>
      <c r="G17" s="16" t="str">
        <f>H_Label!B348</f>
        <v>jf</v>
      </c>
      <c r="H17" s="961">
        <f>H_MNT!$J$174</f>
        <v>16</v>
      </c>
      <c r="I17" s="877"/>
      <c r="J17" s="876">
        <f>H_MNT!$K$174</f>
        <v>0</v>
      </c>
      <c r="K17" s="877"/>
      <c r="L17" s="876">
        <f>H_MNT!$L$174</f>
        <v>0</v>
      </c>
      <c r="M17" s="877"/>
      <c r="N17" s="876">
        <f>H_MNT!$M$174</f>
        <v>16</v>
      </c>
      <c r="O17" s="877"/>
      <c r="P17" s="876">
        <f>H_MNT!$N$174</f>
        <v>24</v>
      </c>
      <c r="Q17" s="877"/>
      <c r="R17" s="876">
        <f>H_MNT!$O$174</f>
        <v>0</v>
      </c>
      <c r="S17" s="877"/>
      <c r="T17" s="876">
        <f>H_MNT!$P$174</f>
        <v>0</v>
      </c>
      <c r="U17" s="877"/>
      <c r="V17" s="876">
        <f>H_MNT!$Q$174</f>
        <v>0</v>
      </c>
      <c r="W17" s="877"/>
      <c r="X17" s="876">
        <f>H_MNT!$R$174</f>
        <v>0</v>
      </c>
      <c r="Y17" s="877"/>
      <c r="Z17" s="876">
        <f>H_MNT!$S$174</f>
        <v>0</v>
      </c>
      <c r="AA17" s="877"/>
      <c r="AB17" s="876">
        <f>H_MNT!$T$174</f>
        <v>0</v>
      </c>
      <c r="AC17" s="877"/>
      <c r="AD17" s="876">
        <f>H_MNT!$U$174</f>
        <v>16</v>
      </c>
      <c r="AE17" s="877"/>
      <c r="AF17" s="878">
        <f>H_MNT!$V$174</f>
        <v>72</v>
      </c>
      <c r="AG17" s="879"/>
      <c r="AH17" s="13"/>
    </row>
    <row r="18" spans="2:34" ht="12" customHeight="1" x14ac:dyDescent="0.2">
      <c r="B18" s="866" t="str">
        <f>H_Label!B349</f>
        <v>Vacances art. 12.1 CCT</v>
      </c>
      <c r="C18" s="867"/>
      <c r="D18" s="560"/>
      <c r="E18" s="560"/>
      <c r="F18" s="560"/>
      <c r="G18" s="17" t="str">
        <f>H_Label!B351</f>
        <v>va</v>
      </c>
      <c r="H18" s="880">
        <f>H_MNT!J183</f>
        <v>0</v>
      </c>
      <c r="I18" s="871"/>
      <c r="J18" s="870">
        <f>H_MNT!K183</f>
        <v>0</v>
      </c>
      <c r="K18" s="871"/>
      <c r="L18" s="870">
        <f>H_MNT!L183</f>
        <v>0</v>
      </c>
      <c r="M18" s="871"/>
      <c r="N18" s="870">
        <f>H_MNT!M183</f>
        <v>0</v>
      </c>
      <c r="O18" s="871"/>
      <c r="P18" s="870">
        <f>H_MNT!N183</f>
        <v>0</v>
      </c>
      <c r="Q18" s="871"/>
      <c r="R18" s="870">
        <f>H_MNT!O183</f>
        <v>0</v>
      </c>
      <c r="S18" s="871"/>
      <c r="T18" s="870">
        <f>H_MNT!P183</f>
        <v>0</v>
      </c>
      <c r="U18" s="871"/>
      <c r="V18" s="870">
        <f>H_MNT!Q183</f>
        <v>0</v>
      </c>
      <c r="W18" s="871"/>
      <c r="X18" s="870">
        <f>H_MNT!R183</f>
        <v>0</v>
      </c>
      <c r="Y18" s="871"/>
      <c r="Z18" s="870">
        <f>H_MNT!S183</f>
        <v>0</v>
      </c>
      <c r="AA18" s="871"/>
      <c r="AB18" s="870">
        <f>H_MNT!T183</f>
        <v>0</v>
      </c>
      <c r="AC18" s="871"/>
      <c r="AD18" s="870">
        <f>H_MNT!U183</f>
        <v>0</v>
      </c>
      <c r="AE18" s="871"/>
      <c r="AF18" s="872">
        <f>H_MNT!V183</f>
        <v>0</v>
      </c>
      <c r="AG18" s="873"/>
      <c r="AH18" s="13"/>
    </row>
    <row r="19" spans="2:34" ht="12" customHeight="1" x14ac:dyDescent="0.2">
      <c r="B19" s="562" t="str">
        <f>H_Label!B352</f>
        <v>vacances correction crédits</v>
      </c>
      <c r="C19" s="563"/>
      <c r="D19" s="553"/>
      <c r="E19" s="553"/>
      <c r="F19" s="553"/>
      <c r="G19" s="539"/>
      <c r="H19" s="961">
        <f>H_MNT!$J$182</f>
        <v>0</v>
      </c>
      <c r="I19" s="877"/>
      <c r="J19" s="876">
        <f>H_MNT!$K$182</f>
        <v>0</v>
      </c>
      <c r="K19" s="877"/>
      <c r="L19" s="876">
        <f>H_MNT!$L$182</f>
        <v>0</v>
      </c>
      <c r="M19" s="877"/>
      <c r="N19" s="876">
        <f>H_MNT!$M$182</f>
        <v>0</v>
      </c>
      <c r="O19" s="877"/>
      <c r="P19" s="876">
        <f>H_MNT!$N$182</f>
        <v>0</v>
      </c>
      <c r="Q19" s="877"/>
      <c r="R19" s="876">
        <f>H_MNT!$O$182</f>
        <v>0</v>
      </c>
      <c r="S19" s="877"/>
      <c r="T19" s="876">
        <f>H_MNT!$P$182</f>
        <v>0</v>
      </c>
      <c r="U19" s="877"/>
      <c r="V19" s="876">
        <f>H_MNT!$Q$182</f>
        <v>0</v>
      </c>
      <c r="W19" s="877"/>
      <c r="X19" s="876">
        <f>H_MNT!$R$182</f>
        <v>0</v>
      </c>
      <c r="Y19" s="877"/>
      <c r="Z19" s="876">
        <f>H_MNT!$S$182</f>
        <v>0</v>
      </c>
      <c r="AA19" s="877"/>
      <c r="AB19" s="876">
        <f>H_MNT!$T$182</f>
        <v>0</v>
      </c>
      <c r="AC19" s="877"/>
      <c r="AD19" s="876">
        <f>H_MNT!$U$182</f>
        <v>0</v>
      </c>
      <c r="AE19" s="877"/>
      <c r="AF19" s="878">
        <f>H_MNT!$V$182</f>
        <v>0</v>
      </c>
      <c r="AG19" s="879"/>
      <c r="AH19" s="13"/>
    </row>
    <row r="20" spans="2:34" ht="12" customHeight="1" x14ac:dyDescent="0.2">
      <c r="B20" s="866" t="str">
        <f>H_Label!B354</f>
        <v>Absences art. 11 CCT</v>
      </c>
      <c r="C20" s="867"/>
      <c r="D20" s="560"/>
      <c r="E20" s="560"/>
      <c r="F20" s="560"/>
      <c r="G20" s="16" t="str">
        <f>H_Label!B356</f>
        <v>ab</v>
      </c>
      <c r="H20" s="961">
        <f>H_MNT!$J$191</f>
        <v>0</v>
      </c>
      <c r="I20" s="877"/>
      <c r="J20" s="876">
        <f>H_MNT!$K$191</f>
        <v>0</v>
      </c>
      <c r="K20" s="877"/>
      <c r="L20" s="876">
        <f>H_MNT!$L$191</f>
        <v>0</v>
      </c>
      <c r="M20" s="877"/>
      <c r="N20" s="876">
        <f>H_MNT!$M$191</f>
        <v>0</v>
      </c>
      <c r="O20" s="877"/>
      <c r="P20" s="876">
        <f>H_MNT!$N$191</f>
        <v>0</v>
      </c>
      <c r="Q20" s="877"/>
      <c r="R20" s="876">
        <f>H_MNT!$O$191</f>
        <v>0</v>
      </c>
      <c r="S20" s="877"/>
      <c r="T20" s="876">
        <f>H_MNT!$P$191</f>
        <v>0</v>
      </c>
      <c r="U20" s="877"/>
      <c r="V20" s="876">
        <f>H_MNT!$Q$191</f>
        <v>0</v>
      </c>
      <c r="W20" s="877"/>
      <c r="X20" s="876">
        <f>H_MNT!$R$191</f>
        <v>0</v>
      </c>
      <c r="Y20" s="877"/>
      <c r="Z20" s="876">
        <f>H_MNT!$S$191</f>
        <v>0</v>
      </c>
      <c r="AA20" s="877"/>
      <c r="AB20" s="876">
        <f>H_MNT!$T$191</f>
        <v>0</v>
      </c>
      <c r="AC20" s="877"/>
      <c r="AD20" s="876">
        <f>H_MNT!$U$191</f>
        <v>0</v>
      </c>
      <c r="AE20" s="877"/>
      <c r="AF20" s="878">
        <f>H_MNT!$V$191</f>
        <v>0</v>
      </c>
      <c r="AG20" s="879"/>
      <c r="AH20" s="13"/>
    </row>
    <row r="21" spans="2:34" ht="12" customHeight="1" x14ac:dyDescent="0.2">
      <c r="B21" s="866" t="str">
        <f>H_Label!B357</f>
        <v>Maladie art. 13 CCT</v>
      </c>
      <c r="C21" s="867"/>
      <c r="D21" s="560"/>
      <c r="E21" s="560"/>
      <c r="F21" s="560"/>
      <c r="G21" s="17" t="str">
        <f>H_Label!B359</f>
        <v>ma</v>
      </c>
      <c r="H21" s="961">
        <f>H_MNT!J192</f>
        <v>0</v>
      </c>
      <c r="I21" s="877"/>
      <c r="J21" s="876">
        <f>H_MNT!K192</f>
        <v>0</v>
      </c>
      <c r="K21" s="877"/>
      <c r="L21" s="876">
        <f>H_MNT!L192</f>
        <v>0</v>
      </c>
      <c r="M21" s="877"/>
      <c r="N21" s="876">
        <f>H_MNT!M192</f>
        <v>0</v>
      </c>
      <c r="O21" s="877"/>
      <c r="P21" s="876">
        <f>H_MNT!N192</f>
        <v>0</v>
      </c>
      <c r="Q21" s="877"/>
      <c r="R21" s="876">
        <f>H_MNT!O192</f>
        <v>0</v>
      </c>
      <c r="S21" s="877"/>
      <c r="T21" s="876">
        <f>H_MNT!P192</f>
        <v>0</v>
      </c>
      <c r="U21" s="877"/>
      <c r="V21" s="876">
        <f>H_MNT!Q192</f>
        <v>0</v>
      </c>
      <c r="W21" s="877"/>
      <c r="X21" s="876">
        <f>H_MNT!R192</f>
        <v>0</v>
      </c>
      <c r="Y21" s="877"/>
      <c r="Z21" s="876">
        <f>H_MNT!S192</f>
        <v>0</v>
      </c>
      <c r="AA21" s="877"/>
      <c r="AB21" s="876">
        <f>H_MNT!T192</f>
        <v>0</v>
      </c>
      <c r="AC21" s="877"/>
      <c r="AD21" s="876">
        <f>H_MNT!U192</f>
        <v>0</v>
      </c>
      <c r="AE21" s="877"/>
      <c r="AF21" s="878">
        <f>H_MNT!V192</f>
        <v>0</v>
      </c>
      <c r="AG21" s="879"/>
      <c r="AH21" s="13"/>
    </row>
    <row r="22" spans="2:34" ht="12" customHeight="1" x14ac:dyDescent="0.2">
      <c r="B22" s="881" t="str">
        <f>H_Label!B360</f>
        <v>dont carence</v>
      </c>
      <c r="C22" s="882"/>
      <c r="D22" s="560"/>
      <c r="E22" s="560"/>
      <c r="F22" s="560"/>
      <c r="G22" s="530">
        <f>H_Label!B362</f>
        <v>0</v>
      </c>
      <c r="H22" s="1007">
        <f>H_MNT!J193</f>
        <v>0</v>
      </c>
      <c r="I22" s="1008"/>
      <c r="J22" s="1007">
        <f>H_MNT!K193</f>
        <v>0</v>
      </c>
      <c r="K22" s="1008"/>
      <c r="L22" s="1007">
        <f>H_MNT!L193</f>
        <v>0</v>
      </c>
      <c r="M22" s="1008"/>
      <c r="N22" s="1007">
        <f>H_MNT!M193</f>
        <v>0</v>
      </c>
      <c r="O22" s="1008"/>
      <c r="P22" s="1007">
        <f>H_MNT!N193</f>
        <v>0</v>
      </c>
      <c r="Q22" s="1008"/>
      <c r="R22" s="1007">
        <f>H_MNT!O193</f>
        <v>0</v>
      </c>
      <c r="S22" s="1008"/>
      <c r="T22" s="1007">
        <f>H_MNT!P193</f>
        <v>0</v>
      </c>
      <c r="U22" s="1008"/>
      <c r="V22" s="1007">
        <f>H_MNT!Q193</f>
        <v>0</v>
      </c>
      <c r="W22" s="1008"/>
      <c r="X22" s="1007">
        <f>H_MNT!R193</f>
        <v>0</v>
      </c>
      <c r="Y22" s="1008"/>
      <c r="Z22" s="1007">
        <f>H_MNT!S193</f>
        <v>0</v>
      </c>
      <c r="AA22" s="1008"/>
      <c r="AB22" s="1007">
        <f>H_MNT!T193</f>
        <v>0</v>
      </c>
      <c r="AC22" s="1008"/>
      <c r="AD22" s="1007">
        <f>H_MNT!U193</f>
        <v>0</v>
      </c>
      <c r="AE22" s="1008"/>
      <c r="AF22" s="1009">
        <f>H_MNT!V193</f>
        <v>0</v>
      </c>
      <c r="AG22" s="1010"/>
      <c r="AH22" s="13"/>
    </row>
    <row r="23" spans="2:34" ht="12" customHeight="1" x14ac:dyDescent="0.2">
      <c r="B23" s="866" t="str">
        <f>H_Label!B363</f>
        <v>Accident art. 14 CCT</v>
      </c>
      <c r="C23" s="867"/>
      <c r="D23" s="560"/>
      <c r="E23" s="560"/>
      <c r="F23" s="560"/>
      <c r="G23" s="17" t="str">
        <f>H_Label!B365</f>
        <v>ac</v>
      </c>
      <c r="H23" s="880">
        <f>H_MNT!J194</f>
        <v>0</v>
      </c>
      <c r="I23" s="871"/>
      <c r="J23" s="870">
        <f>H_MNT!K194</f>
        <v>0</v>
      </c>
      <c r="K23" s="871"/>
      <c r="L23" s="870">
        <f>H_MNT!L194</f>
        <v>0</v>
      </c>
      <c r="M23" s="871"/>
      <c r="N23" s="870">
        <f>H_MNT!M194</f>
        <v>0</v>
      </c>
      <c r="O23" s="871"/>
      <c r="P23" s="870">
        <f>H_MNT!N194</f>
        <v>0</v>
      </c>
      <c r="Q23" s="871"/>
      <c r="R23" s="870">
        <f>H_MNT!O194</f>
        <v>0</v>
      </c>
      <c r="S23" s="871"/>
      <c r="T23" s="870">
        <f>H_MNT!P194</f>
        <v>0</v>
      </c>
      <c r="U23" s="871"/>
      <c r="V23" s="870">
        <f>H_MNT!Q194</f>
        <v>0</v>
      </c>
      <c r="W23" s="871"/>
      <c r="X23" s="870">
        <f>H_MNT!R194</f>
        <v>0</v>
      </c>
      <c r="Y23" s="871"/>
      <c r="Z23" s="870">
        <f>H_MNT!S194</f>
        <v>0</v>
      </c>
      <c r="AA23" s="871"/>
      <c r="AB23" s="870">
        <f>H_MNT!T194</f>
        <v>0</v>
      </c>
      <c r="AC23" s="871"/>
      <c r="AD23" s="870">
        <f>H_MNT!U194</f>
        <v>0</v>
      </c>
      <c r="AE23" s="871"/>
      <c r="AF23" s="872">
        <f>H_MNT!V194</f>
        <v>0</v>
      </c>
      <c r="AG23" s="873"/>
      <c r="AH23" s="13"/>
    </row>
    <row r="24" spans="2:34" ht="12" customHeight="1" x14ac:dyDescent="0.2">
      <c r="B24" s="866" t="str">
        <f>H_Label!B366</f>
        <v>Grossesse art. 15 CCT</v>
      </c>
      <c r="C24" s="867"/>
      <c r="D24" s="560"/>
      <c r="E24" s="560"/>
      <c r="F24" s="560"/>
      <c r="G24" s="17" t="str">
        <f>H_Label!B368</f>
        <v>g</v>
      </c>
      <c r="H24" s="880">
        <f>H_MNT!J195</f>
        <v>0</v>
      </c>
      <c r="I24" s="871"/>
      <c r="J24" s="870">
        <f>H_MNT!K195</f>
        <v>0</v>
      </c>
      <c r="K24" s="871"/>
      <c r="L24" s="870">
        <f>H_MNT!L195</f>
        <v>0</v>
      </c>
      <c r="M24" s="871"/>
      <c r="N24" s="870">
        <f>H_MNT!M195</f>
        <v>0</v>
      </c>
      <c r="O24" s="871"/>
      <c r="P24" s="870">
        <f>H_MNT!N195</f>
        <v>0</v>
      </c>
      <c r="Q24" s="871"/>
      <c r="R24" s="870">
        <f>H_MNT!O195</f>
        <v>0</v>
      </c>
      <c r="S24" s="871"/>
      <c r="T24" s="870">
        <f>H_MNT!P195</f>
        <v>0</v>
      </c>
      <c r="U24" s="871"/>
      <c r="V24" s="870">
        <f>H_MNT!Q195</f>
        <v>0</v>
      </c>
      <c r="W24" s="871"/>
      <c r="X24" s="870">
        <f>H_MNT!R195</f>
        <v>0</v>
      </c>
      <c r="Y24" s="871"/>
      <c r="Z24" s="870">
        <f>H_MNT!S195</f>
        <v>0</v>
      </c>
      <c r="AA24" s="871"/>
      <c r="AB24" s="870">
        <f>H_MNT!T195</f>
        <v>0</v>
      </c>
      <c r="AC24" s="871"/>
      <c r="AD24" s="870">
        <f>H_MNT!U195</f>
        <v>0</v>
      </c>
      <c r="AE24" s="871"/>
      <c r="AF24" s="872">
        <f>H_MNT!V195</f>
        <v>0</v>
      </c>
      <c r="AG24" s="873"/>
      <c r="AH24" s="13"/>
    </row>
    <row r="25" spans="2:34" ht="12" customHeight="1" x14ac:dyDescent="0.2">
      <c r="B25" s="866" t="str">
        <f>H_Label!B502</f>
        <v>Maternité art. 15 CCT</v>
      </c>
      <c r="C25" s="867"/>
      <c r="D25" s="560"/>
      <c r="E25" s="560"/>
      <c r="F25" s="560"/>
      <c r="G25" s="17" t="str">
        <f>H_Label!B504</f>
        <v>mp</v>
      </c>
      <c r="H25" s="880">
        <f>H_MNT!J196</f>
        <v>0</v>
      </c>
      <c r="I25" s="871"/>
      <c r="J25" s="870">
        <f>H_MNT!K196</f>
        <v>0</v>
      </c>
      <c r="K25" s="871"/>
      <c r="L25" s="870">
        <f>H_MNT!L196</f>
        <v>0</v>
      </c>
      <c r="M25" s="871"/>
      <c r="N25" s="870">
        <f>H_MNT!M196</f>
        <v>0</v>
      </c>
      <c r="O25" s="871"/>
      <c r="P25" s="870">
        <f>H_MNT!N196</f>
        <v>0</v>
      </c>
      <c r="Q25" s="871"/>
      <c r="R25" s="870">
        <f>H_MNT!O196</f>
        <v>0</v>
      </c>
      <c r="S25" s="871"/>
      <c r="T25" s="870">
        <f>H_MNT!P196</f>
        <v>0</v>
      </c>
      <c r="U25" s="871"/>
      <c r="V25" s="870">
        <f>H_MNT!Q196</f>
        <v>0</v>
      </c>
      <c r="W25" s="871"/>
      <c r="X25" s="870">
        <f>H_MNT!R196</f>
        <v>0</v>
      </c>
      <c r="Y25" s="871"/>
      <c r="Z25" s="870">
        <f>H_MNT!S196</f>
        <v>0</v>
      </c>
      <c r="AA25" s="871"/>
      <c r="AB25" s="870">
        <f>H_MNT!T196</f>
        <v>0</v>
      </c>
      <c r="AC25" s="871"/>
      <c r="AD25" s="870">
        <f>H_MNT!U196</f>
        <v>0</v>
      </c>
      <c r="AE25" s="871"/>
      <c r="AF25" s="872">
        <f>H_MNT!V196</f>
        <v>0</v>
      </c>
      <c r="AG25" s="873"/>
      <c r="AH25" s="13"/>
    </row>
    <row r="26" spans="2:34" ht="12" customHeight="1" x14ac:dyDescent="0.2">
      <c r="B26" s="866" t="str">
        <f>H_Label!B369</f>
        <v>Militaire/Promotion/Protection civile art. 16 CCT</v>
      </c>
      <c r="C26" s="867"/>
      <c r="D26" s="560"/>
      <c r="E26" s="560"/>
      <c r="F26" s="560"/>
      <c r="G26" s="17" t="str">
        <f>H_Label!B371</f>
        <v>mi</v>
      </c>
      <c r="H26" s="880">
        <f>H_MNT!J197</f>
        <v>0</v>
      </c>
      <c r="I26" s="871"/>
      <c r="J26" s="870">
        <f>H_MNT!K197</f>
        <v>0</v>
      </c>
      <c r="K26" s="871"/>
      <c r="L26" s="870">
        <f>H_MNT!L197</f>
        <v>0</v>
      </c>
      <c r="M26" s="871"/>
      <c r="N26" s="870">
        <f>H_MNT!M197</f>
        <v>0</v>
      </c>
      <c r="O26" s="871"/>
      <c r="P26" s="870">
        <f>H_MNT!N197</f>
        <v>0</v>
      </c>
      <c r="Q26" s="871"/>
      <c r="R26" s="870">
        <f>H_MNT!O197</f>
        <v>0</v>
      </c>
      <c r="S26" s="871"/>
      <c r="T26" s="870">
        <f>H_MNT!P197</f>
        <v>0</v>
      </c>
      <c r="U26" s="871"/>
      <c r="V26" s="870">
        <f>H_MNT!Q197</f>
        <v>0</v>
      </c>
      <c r="W26" s="871"/>
      <c r="X26" s="870">
        <f>H_MNT!R197</f>
        <v>0</v>
      </c>
      <c r="Y26" s="871"/>
      <c r="Z26" s="870">
        <f>H_MNT!S197</f>
        <v>0</v>
      </c>
      <c r="AA26" s="871"/>
      <c r="AB26" s="870">
        <f>H_MNT!T197</f>
        <v>0</v>
      </c>
      <c r="AC26" s="871"/>
      <c r="AD26" s="870">
        <f>H_MNT!U197</f>
        <v>0</v>
      </c>
      <c r="AE26" s="871"/>
      <c r="AF26" s="872">
        <f>H_MNT!V197</f>
        <v>0</v>
      </c>
      <c r="AG26" s="873"/>
      <c r="AH26" s="13"/>
    </row>
    <row r="27" spans="2:34" ht="12" customHeight="1" x14ac:dyDescent="0.2">
      <c r="B27" s="866" t="str">
        <f>H_Label!B372</f>
        <v>Chômage partiel/perte de trav. cause d'intemp.</v>
      </c>
      <c r="C27" s="867"/>
      <c r="D27" s="560"/>
      <c r="E27" s="560"/>
      <c r="F27" s="560"/>
      <c r="G27" s="17" t="str">
        <f>H_Label!B374</f>
        <v>ch</v>
      </c>
      <c r="H27" s="880">
        <f>H_MNT!$J200</f>
        <v>0</v>
      </c>
      <c r="I27" s="871"/>
      <c r="J27" s="870">
        <f>H_MNT!$K200</f>
        <v>0</v>
      </c>
      <c r="K27" s="871"/>
      <c r="L27" s="870">
        <f>H_MNT!$L200</f>
        <v>0</v>
      </c>
      <c r="M27" s="871"/>
      <c r="N27" s="870">
        <f>H_MNT!$M200</f>
        <v>0</v>
      </c>
      <c r="O27" s="871"/>
      <c r="P27" s="870">
        <f>H_MNT!$N200</f>
        <v>0</v>
      </c>
      <c r="Q27" s="871"/>
      <c r="R27" s="870">
        <f>H_MNT!$O200</f>
        <v>0</v>
      </c>
      <c r="S27" s="871"/>
      <c r="T27" s="870">
        <f>H_MNT!$P200</f>
        <v>0</v>
      </c>
      <c r="U27" s="871"/>
      <c r="V27" s="870">
        <f>H_MNT!$Q200</f>
        <v>0</v>
      </c>
      <c r="W27" s="871"/>
      <c r="X27" s="870">
        <f>H_MNT!$R200</f>
        <v>0</v>
      </c>
      <c r="Y27" s="871"/>
      <c r="Z27" s="870">
        <f>H_MNT!$S200</f>
        <v>0</v>
      </c>
      <c r="AA27" s="871"/>
      <c r="AB27" s="870">
        <f>H_MNT!$T200</f>
        <v>0</v>
      </c>
      <c r="AC27" s="871"/>
      <c r="AD27" s="870">
        <f>H_MNT!$U200</f>
        <v>0</v>
      </c>
      <c r="AE27" s="871"/>
      <c r="AF27" s="872">
        <f>H_MNT!$V200</f>
        <v>0</v>
      </c>
      <c r="AG27" s="873"/>
      <c r="AH27" s="13"/>
    </row>
    <row r="28" spans="2:34" ht="12" customHeight="1" x14ac:dyDescent="0.2">
      <c r="B28" s="874" t="str">
        <f>H_Label!B375</f>
        <v>Arrêts définis par l'entreprise</v>
      </c>
      <c r="C28" s="875"/>
      <c r="D28" s="560"/>
      <c r="E28" s="560"/>
      <c r="F28" s="560"/>
      <c r="G28" s="530" t="str">
        <f>H_Label!B377</f>
        <v>ae</v>
      </c>
      <c r="H28" s="880">
        <f>H_MNT!$J201</f>
        <v>0</v>
      </c>
      <c r="I28" s="871"/>
      <c r="J28" s="870">
        <f>H_MNT!$K201</f>
        <v>0</v>
      </c>
      <c r="K28" s="871"/>
      <c r="L28" s="870">
        <f>H_MNT!$L201</f>
        <v>0</v>
      </c>
      <c r="M28" s="871"/>
      <c r="N28" s="870">
        <f>H_MNT!$M201</f>
        <v>0</v>
      </c>
      <c r="O28" s="871"/>
      <c r="P28" s="870">
        <f>H_MNT!$N201</f>
        <v>0</v>
      </c>
      <c r="Q28" s="871"/>
      <c r="R28" s="870">
        <f>H_MNT!$O201</f>
        <v>0</v>
      </c>
      <c r="S28" s="871"/>
      <c r="T28" s="870">
        <f>H_MNT!$P201</f>
        <v>0</v>
      </c>
      <c r="U28" s="871"/>
      <c r="V28" s="870">
        <f>H_MNT!$Q201</f>
        <v>0</v>
      </c>
      <c r="W28" s="871"/>
      <c r="X28" s="870">
        <f>H_MNT!$R201</f>
        <v>0</v>
      </c>
      <c r="Y28" s="871"/>
      <c r="Z28" s="870">
        <f>H_MNT!$S201</f>
        <v>0</v>
      </c>
      <c r="AA28" s="871"/>
      <c r="AB28" s="870">
        <f>H_MNT!$T201</f>
        <v>0</v>
      </c>
      <c r="AC28" s="871"/>
      <c r="AD28" s="870">
        <f>H_MNT!$U201</f>
        <v>0</v>
      </c>
      <c r="AE28" s="871"/>
      <c r="AF28" s="872">
        <f>H_MNT!$V201</f>
        <v>0</v>
      </c>
      <c r="AG28" s="873"/>
      <c r="AH28" s="13"/>
    </row>
    <row r="29" spans="2:34" ht="12" customHeight="1" x14ac:dyDescent="0.2">
      <c r="B29" s="866" t="str">
        <f>H_Label!B379</f>
        <v>Ecole professionnelle</v>
      </c>
      <c r="C29" s="867"/>
      <c r="D29" s="560"/>
      <c r="E29" s="560"/>
      <c r="F29" s="560"/>
      <c r="G29" s="17" t="str">
        <f>H_Label!B381</f>
        <v>ep</v>
      </c>
      <c r="H29" s="880">
        <f>H_MNT!J198</f>
        <v>0</v>
      </c>
      <c r="I29" s="871"/>
      <c r="J29" s="870">
        <f>H_MNT!K198</f>
        <v>0</v>
      </c>
      <c r="K29" s="871"/>
      <c r="L29" s="870">
        <f>H_MNT!L198</f>
        <v>0</v>
      </c>
      <c r="M29" s="871"/>
      <c r="N29" s="870">
        <f>H_MNT!M198</f>
        <v>0</v>
      </c>
      <c r="O29" s="871"/>
      <c r="P29" s="870">
        <f>H_MNT!N198</f>
        <v>0</v>
      </c>
      <c r="Q29" s="871"/>
      <c r="R29" s="870">
        <f>H_MNT!O198</f>
        <v>0</v>
      </c>
      <c r="S29" s="871"/>
      <c r="T29" s="870">
        <f>H_MNT!P198</f>
        <v>0</v>
      </c>
      <c r="U29" s="871"/>
      <c r="V29" s="870">
        <f>H_MNT!Q198</f>
        <v>0</v>
      </c>
      <c r="W29" s="871"/>
      <c r="X29" s="870">
        <f>H_MNT!R198</f>
        <v>0</v>
      </c>
      <c r="Y29" s="871"/>
      <c r="Z29" s="870">
        <f>H_MNT!S198</f>
        <v>0</v>
      </c>
      <c r="AA29" s="871"/>
      <c r="AB29" s="870">
        <f>H_MNT!T198</f>
        <v>0</v>
      </c>
      <c r="AC29" s="871"/>
      <c r="AD29" s="870">
        <f>H_MNT!U198</f>
        <v>0</v>
      </c>
      <c r="AE29" s="871"/>
      <c r="AF29" s="872">
        <f>H_MNT!V198</f>
        <v>0</v>
      </c>
      <c r="AG29" s="873"/>
      <c r="AH29" s="13"/>
    </row>
    <row r="30" spans="2:34" ht="12" customHeight="1" x14ac:dyDescent="0.2">
      <c r="B30" s="1005" t="str">
        <f>H_Label!B382</f>
        <v>Cours</v>
      </c>
      <c r="C30" s="1006"/>
      <c r="D30" s="561"/>
      <c r="E30" s="561"/>
      <c r="F30" s="561"/>
      <c r="G30" s="453" t="str">
        <f>H_Label!B384</f>
        <v>co</v>
      </c>
      <c r="H30" s="1004">
        <f>H_MNT!J199</f>
        <v>0</v>
      </c>
      <c r="I30" s="946"/>
      <c r="J30" s="945">
        <f>H_MNT!K199</f>
        <v>0</v>
      </c>
      <c r="K30" s="946"/>
      <c r="L30" s="945">
        <f>H_MNT!L199</f>
        <v>0</v>
      </c>
      <c r="M30" s="946"/>
      <c r="N30" s="945">
        <f>H_MNT!M199</f>
        <v>0</v>
      </c>
      <c r="O30" s="946"/>
      <c r="P30" s="945">
        <f>H_MNT!N199</f>
        <v>0</v>
      </c>
      <c r="Q30" s="946"/>
      <c r="R30" s="945">
        <f>H_MNT!O199</f>
        <v>0</v>
      </c>
      <c r="S30" s="946"/>
      <c r="T30" s="945">
        <f>H_MNT!P199</f>
        <v>0</v>
      </c>
      <c r="U30" s="946"/>
      <c r="V30" s="945">
        <f>H_MNT!Q199</f>
        <v>0</v>
      </c>
      <c r="W30" s="946"/>
      <c r="X30" s="945">
        <f>H_MNT!R199</f>
        <v>0</v>
      </c>
      <c r="Y30" s="946"/>
      <c r="Z30" s="945">
        <f>H_MNT!S199</f>
        <v>0</v>
      </c>
      <c r="AA30" s="946"/>
      <c r="AB30" s="945">
        <f>H_MNT!T199</f>
        <v>0</v>
      </c>
      <c r="AC30" s="946"/>
      <c r="AD30" s="945">
        <f>H_MNT!U199</f>
        <v>0</v>
      </c>
      <c r="AE30" s="946"/>
      <c r="AF30" s="1002">
        <f>H_MNT!V199</f>
        <v>0</v>
      </c>
      <c r="AG30" s="1003"/>
      <c r="AH30" s="13"/>
    </row>
    <row r="31" spans="2:34" ht="13.5" x14ac:dyDescent="0.2">
      <c r="B31" s="461"/>
      <c r="C31" s="462"/>
      <c r="D31" s="462"/>
      <c r="E31" s="462"/>
      <c r="F31" s="462"/>
      <c r="G31" s="463"/>
      <c r="H31" s="325" t="str">
        <f>H_Label!B426</f>
        <v>période de compensation regulaire</v>
      </c>
      <c r="I31" s="326"/>
      <c r="J31" s="326"/>
      <c r="K31" s="326"/>
      <c r="L31" s="326"/>
      <c r="M31" s="326"/>
      <c r="N31" s="326"/>
      <c r="O31" s="548"/>
      <c r="P31" s="318" t="str">
        <f>H_Label!B427</f>
        <v>Faire rapport à la RPBK!</v>
      </c>
      <c r="Q31" s="318"/>
      <c r="R31" s="318"/>
      <c r="S31" s="318"/>
      <c r="T31" s="318"/>
      <c r="U31" s="318"/>
      <c r="V31" s="318"/>
      <c r="W31" s="318"/>
      <c r="X31" s="318"/>
      <c r="Y31" s="318"/>
      <c r="Z31" s="452" t="str">
        <f>IF(X34&lt;0,H_Label!B429,H_Label!B428)</f>
        <v>statut de la compensation</v>
      </c>
      <c r="AA31" s="450"/>
      <c r="AB31" s="450"/>
      <c r="AC31" s="450"/>
      <c r="AD31" s="450"/>
      <c r="AE31" s="450"/>
      <c r="AF31" s="449"/>
      <c r="AG31" s="451"/>
      <c r="AH31" s="13"/>
    </row>
    <row r="32" spans="2:34" ht="12" customHeight="1" x14ac:dyDescent="0.2">
      <c r="B32" s="464" t="str">
        <f>H_Label!B387</f>
        <v>se année passée</v>
      </c>
      <c r="C32" s="947" t="str">
        <f>H_Label!B389</f>
        <v>Heures de compensation</v>
      </c>
      <c r="D32" s="947"/>
      <c r="E32" s="947"/>
      <c r="F32" s="947"/>
      <c r="G32" s="16" t="str">
        <f>H_Label!B390</f>
        <v>cp</v>
      </c>
      <c r="H32" s="1001">
        <f>H_MNT!J163</f>
        <v>0</v>
      </c>
      <c r="I32" s="869"/>
      <c r="J32" s="868">
        <f>H_MNT!K163</f>
        <v>0</v>
      </c>
      <c r="K32" s="869"/>
      <c r="L32" s="868">
        <f>H_MNT!L163</f>
        <v>0</v>
      </c>
      <c r="M32" s="869"/>
      <c r="N32" s="868">
        <f>H_MNT!M163</f>
        <v>0</v>
      </c>
      <c r="O32" s="869"/>
      <c r="P32" s="868">
        <f>H_MNT!N163</f>
        <v>0</v>
      </c>
      <c r="Q32" s="869"/>
      <c r="R32" s="868">
        <f>H_MNT!O163</f>
        <v>0</v>
      </c>
      <c r="S32" s="869"/>
      <c r="T32" s="868">
        <f>H_MNT!P163</f>
        <v>0</v>
      </c>
      <c r="U32" s="869"/>
      <c r="V32" s="868">
        <f>H_MNT!Q163</f>
        <v>0</v>
      </c>
      <c r="W32" s="869"/>
      <c r="X32" s="868">
        <f>H_MNT!R163</f>
        <v>0</v>
      </c>
      <c r="Y32" s="1001"/>
      <c r="Z32" s="883" t="str">
        <f>H_Label!B432&amp;" "&amp; A_Jahr-1&amp;": "&amp;IF(B_fldSaldoVJ&gt;0,TEXT(B_fldSaldoVJ,"0.00")&amp;" "&amp;H_Label!B433,H_Label!B436)</f>
        <v>se (report) 2025: se negative année passée</v>
      </c>
      <c r="AA32" s="884"/>
      <c r="AB32" s="884"/>
      <c r="AC32" s="884"/>
      <c r="AD32" s="884"/>
      <c r="AE32" s="884"/>
      <c r="AF32" s="884"/>
      <c r="AG32" s="885"/>
      <c r="AH32" s="13"/>
    </row>
    <row r="33" spans="2:35" ht="12" customHeight="1" x14ac:dyDescent="0.2">
      <c r="B33" s="465"/>
      <c r="C33" s="911" t="str">
        <f>H_Label!B392</f>
        <v>paiement des heures</v>
      </c>
      <c r="D33" s="911"/>
      <c r="E33" s="911"/>
      <c r="F33" s="911"/>
      <c r="G33" s="453">
        <f>H_Label!C3997</f>
        <v>0</v>
      </c>
      <c r="H33" s="1000">
        <f>H_MNT!J164</f>
        <v>0</v>
      </c>
      <c r="I33" s="917"/>
      <c r="J33" s="916">
        <f>H_MNT!K164</f>
        <v>0</v>
      </c>
      <c r="K33" s="917"/>
      <c r="L33" s="916">
        <f>H_MNT!L164</f>
        <v>0</v>
      </c>
      <c r="M33" s="917"/>
      <c r="N33" s="916">
        <f>H_MNT!M164</f>
        <v>0</v>
      </c>
      <c r="O33" s="917"/>
      <c r="P33" s="916">
        <f>H_MNT!N164</f>
        <v>0</v>
      </c>
      <c r="Q33" s="917"/>
      <c r="R33" s="916">
        <f>H_MNT!O164</f>
        <v>0</v>
      </c>
      <c r="S33" s="917"/>
      <c r="T33" s="916">
        <f>H_MNT!P164</f>
        <v>0</v>
      </c>
      <c r="U33" s="917"/>
      <c r="V33" s="916">
        <f>H_MNT!Q164</f>
        <v>0</v>
      </c>
      <c r="W33" s="917"/>
      <c r="X33" s="916">
        <f>H_MNT!R164</f>
        <v>0</v>
      </c>
      <c r="Y33" s="1000"/>
      <c r="Z33" s="886"/>
      <c r="AA33" s="887"/>
      <c r="AB33" s="887"/>
      <c r="AC33" s="887"/>
      <c r="AD33" s="887"/>
      <c r="AE33" s="887"/>
      <c r="AF33" s="887"/>
      <c r="AG33" s="888"/>
      <c r="AH33" s="13"/>
    </row>
    <row r="34" spans="2:35" ht="12" customHeight="1" x14ac:dyDescent="0.2">
      <c r="B34" s="466">
        <f>H_Label!B391</f>
        <v>0</v>
      </c>
      <c r="C34" s="942" t="str">
        <f>H_Label!B396</f>
        <v>après compensation et paiement</v>
      </c>
      <c r="D34" s="942"/>
      <c r="E34" s="942"/>
      <c r="F34" s="942"/>
      <c r="G34" s="943"/>
      <c r="H34" s="957">
        <f>ROUND(IF(B_fldSaldoVJ&gt;0,B_fldSaldoVJ-H32-H33,0-H32-H33),4)</f>
        <v>0</v>
      </c>
      <c r="I34" s="958"/>
      <c r="J34" s="959">
        <f>ROUND(IF(H34="0",0,H34-J32-J33),4)</f>
        <v>0</v>
      </c>
      <c r="K34" s="958"/>
      <c r="L34" s="959">
        <f>ROUND(IF(J34="0",0,J34-L32-L33),4)</f>
        <v>0</v>
      </c>
      <c r="M34" s="958"/>
      <c r="N34" s="959">
        <f t="shared" ref="N34" si="11">ROUND(IF(L34="0",0,L34-N32-N33),4)</f>
        <v>0</v>
      </c>
      <c r="O34" s="958"/>
      <c r="P34" s="959">
        <f t="shared" ref="P34" si="12">ROUND(IF(N34="0",0,N34-P32-P33),4)</f>
        <v>0</v>
      </c>
      <c r="Q34" s="958"/>
      <c r="R34" s="959">
        <f t="shared" ref="R34" si="13">ROUND(IF(P34="0",0,P34-R32-R33),4)</f>
        <v>0</v>
      </c>
      <c r="S34" s="958"/>
      <c r="T34" s="959">
        <f t="shared" ref="T34" si="14">ROUND(IF(R34="0",0,R34-T32-T33),4)</f>
        <v>0</v>
      </c>
      <c r="U34" s="958"/>
      <c r="V34" s="959">
        <f t="shared" ref="V34" si="15">ROUND(IF(T34="0",0,T34-V32-V33),4)</f>
        <v>0</v>
      </c>
      <c r="W34" s="958"/>
      <c r="X34" s="959">
        <f t="shared" ref="X34" si="16">ROUND(IF(V34="0",0,V34-X32-X33),4)</f>
        <v>0</v>
      </c>
      <c r="Y34" s="957"/>
      <c r="Z34" s="978" t="str">
        <f>H_Label!B438&amp;" "&amp;SUM('report annuel'!H32:Y32)&amp;" "&amp;H_Label!B439&amp;" "&amp;SUM('report annuel'!H33:Y33)&amp;" "&amp;H_Label!B440&amp;" "&amp;TEXT(B_fldSaldoVJ-SUM('report annuel'!H32:Y32)-SUM('report annuel'!H33:Y33),"0.00")</f>
        <v>compensé 0    payé  0    |   reste:  0.00</v>
      </c>
      <c r="AA34" s="979"/>
      <c r="AB34" s="979"/>
      <c r="AC34" s="979"/>
      <c r="AD34" s="979"/>
      <c r="AE34" s="979"/>
      <c r="AF34" s="979"/>
      <c r="AG34" s="980"/>
      <c r="AH34" s="13"/>
      <c r="AI34" s="484"/>
    </row>
    <row r="35" spans="2:35" ht="12" customHeight="1" x14ac:dyDescent="0.2">
      <c r="B35" s="467"/>
      <c r="C35" s="323"/>
      <c r="D35" s="323"/>
      <c r="E35" s="323"/>
      <c r="F35" s="323"/>
      <c r="G35" s="468"/>
      <c r="H35" s="472"/>
      <c r="I35" s="473"/>
      <c r="J35" s="474"/>
      <c r="K35" s="473"/>
      <c r="L35" s="474"/>
      <c r="M35" s="473"/>
      <c r="N35" s="474"/>
      <c r="O35" s="473"/>
      <c r="P35" s="474"/>
      <c r="Q35" s="473"/>
      <c r="R35" s="474"/>
      <c r="S35" s="473"/>
      <c r="T35" s="474"/>
      <c r="U35" s="473"/>
      <c r="V35" s="474"/>
      <c r="W35" s="473"/>
      <c r="X35" s="474"/>
      <c r="Y35" s="473"/>
      <c r="Z35" s="474"/>
      <c r="AA35" s="473"/>
      <c r="AB35" s="474"/>
      <c r="AC35" s="473"/>
      <c r="AD35" s="474"/>
      <c r="AE35" s="473"/>
      <c r="AF35" s="475"/>
      <c r="AG35" s="476"/>
      <c r="AH35" s="13"/>
    </row>
    <row r="36" spans="2:35" ht="12" customHeight="1" x14ac:dyDescent="0.2">
      <c r="B36" s="469"/>
      <c r="C36" s="324"/>
      <c r="D36" s="324"/>
      <c r="E36" s="324"/>
      <c r="F36" s="324"/>
      <c r="G36" s="463"/>
      <c r="H36" s="477"/>
      <c r="I36" s="478"/>
      <c r="J36" s="477"/>
      <c r="K36" s="478"/>
      <c r="L36" s="477"/>
      <c r="M36" s="478"/>
      <c r="N36" s="477"/>
      <c r="O36" s="478"/>
      <c r="P36" s="477"/>
      <c r="Q36" s="478"/>
      <c r="R36" s="477"/>
      <c r="S36" s="478"/>
      <c r="T36" s="477"/>
      <c r="U36" s="478"/>
      <c r="V36" s="477"/>
      <c r="W36" s="478"/>
      <c r="X36" s="477"/>
      <c r="Y36" s="478"/>
      <c r="Z36" s="477"/>
      <c r="AA36" s="478"/>
      <c r="AB36" s="477"/>
      <c r="AC36" s="478"/>
      <c r="AD36" s="477"/>
      <c r="AE36" s="478"/>
      <c r="AF36" s="479"/>
      <c r="AG36" s="480"/>
      <c r="AH36" s="13"/>
    </row>
    <row r="37" spans="2:35" ht="12" customHeight="1" x14ac:dyDescent="0.2">
      <c r="B37" s="470" t="str">
        <f>H_Label!B399</f>
        <v>de l'année en cours (contrôle)</v>
      </c>
      <c r="C37" s="947" t="str">
        <f>H_Label!B400</f>
        <v>compensation en cours</v>
      </c>
      <c r="D37" s="947"/>
      <c r="E37" s="947"/>
      <c r="F37" s="947"/>
      <c r="G37" s="16" t="str">
        <f>H_Label!B401</f>
        <v>cc</v>
      </c>
      <c r="H37" s="961">
        <f>H_MNT!J165</f>
        <v>0</v>
      </c>
      <c r="I37" s="877"/>
      <c r="J37" s="876">
        <f>H_MNT!K165</f>
        <v>0</v>
      </c>
      <c r="K37" s="877"/>
      <c r="L37" s="876">
        <f>H_MNT!L165</f>
        <v>0</v>
      </c>
      <c r="M37" s="877"/>
      <c r="N37" s="876">
        <f>H_MNT!M165</f>
        <v>0</v>
      </c>
      <c r="O37" s="877"/>
      <c r="P37" s="876">
        <f>H_MNT!N165</f>
        <v>0</v>
      </c>
      <c r="Q37" s="877"/>
      <c r="R37" s="876">
        <f>H_MNT!O165</f>
        <v>0</v>
      </c>
      <c r="S37" s="877"/>
      <c r="T37" s="876">
        <f>H_MNT!P165</f>
        <v>0</v>
      </c>
      <c r="U37" s="877"/>
      <c r="V37" s="876">
        <f>H_MNT!Q165</f>
        <v>0</v>
      </c>
      <c r="W37" s="877"/>
      <c r="X37" s="876">
        <f>H_MNT!R165</f>
        <v>0</v>
      </c>
      <c r="Y37" s="877"/>
      <c r="Z37" s="876">
        <f>H_MNT!S165</f>
        <v>0</v>
      </c>
      <c r="AA37" s="877"/>
      <c r="AB37" s="876">
        <f>H_MNT!T165</f>
        <v>0</v>
      </c>
      <c r="AC37" s="877"/>
      <c r="AD37" s="876">
        <f>H_MNT!U165</f>
        <v>0</v>
      </c>
      <c r="AE37" s="877"/>
      <c r="AF37" s="876">
        <f>H_MNT!V165</f>
        <v>0</v>
      </c>
      <c r="AG37" s="877"/>
      <c r="AH37" s="13"/>
      <c r="AI37" s="484"/>
    </row>
    <row r="38" spans="2:35" ht="12" customHeight="1" x14ac:dyDescent="0.2">
      <c r="B38" s="466"/>
      <c r="C38" s="998" t="str">
        <f>H_Label!B403</f>
        <v>Paiement des heures</v>
      </c>
      <c r="D38" s="998"/>
      <c r="E38" s="998"/>
      <c r="F38" s="998"/>
      <c r="G38" s="999"/>
      <c r="H38" s="880">
        <f>H_MNT!J166</f>
        <v>0</v>
      </c>
      <c r="I38" s="871"/>
      <c r="J38" s="870">
        <f>H_MNT!K166</f>
        <v>0</v>
      </c>
      <c r="K38" s="871"/>
      <c r="L38" s="870">
        <f>H_MNT!L166</f>
        <v>0</v>
      </c>
      <c r="M38" s="871"/>
      <c r="N38" s="870">
        <f>H_MNT!M166</f>
        <v>0</v>
      </c>
      <c r="O38" s="871"/>
      <c r="P38" s="870">
        <f>H_MNT!N166</f>
        <v>0</v>
      </c>
      <c r="Q38" s="871"/>
      <c r="R38" s="870">
        <f>H_MNT!O166</f>
        <v>0</v>
      </c>
      <c r="S38" s="871"/>
      <c r="T38" s="870">
        <f>H_MNT!P166</f>
        <v>0</v>
      </c>
      <c r="U38" s="871"/>
      <c r="V38" s="870">
        <f>H_MNT!Q166</f>
        <v>0</v>
      </c>
      <c r="W38" s="871"/>
      <c r="X38" s="870">
        <f>H_MNT!R166</f>
        <v>0</v>
      </c>
      <c r="Y38" s="871"/>
      <c r="Z38" s="870">
        <f>H_MNT!S166</f>
        <v>0</v>
      </c>
      <c r="AA38" s="871"/>
      <c r="AB38" s="870">
        <f>H_MNT!T166</f>
        <v>0</v>
      </c>
      <c r="AC38" s="871"/>
      <c r="AD38" s="870">
        <f>H_MNT!U166</f>
        <v>0</v>
      </c>
      <c r="AE38" s="871"/>
      <c r="AF38" s="870">
        <f>H_MNT!V166</f>
        <v>0</v>
      </c>
      <c r="AG38" s="871"/>
      <c r="AH38" s="13"/>
      <c r="AI38" s="484"/>
    </row>
    <row r="39" spans="2:35" ht="12" customHeight="1" x14ac:dyDescent="0.2">
      <c r="B39" s="529" t="str">
        <f>H_Label!B405</f>
        <v>absences non payées</v>
      </c>
      <c r="C39" s="948" t="str">
        <f>H_Label!B406</f>
        <v>vacences non payées</v>
      </c>
      <c r="D39" s="948"/>
      <c r="E39" s="948"/>
      <c r="F39" s="948"/>
      <c r="G39" s="530" t="str">
        <f>H_Label!B407</f>
        <v>vn</v>
      </c>
      <c r="H39" s="880">
        <f>H_MNT!J208</f>
        <v>0</v>
      </c>
      <c r="I39" s="871"/>
      <c r="J39" s="880">
        <f>H_MNT!K208</f>
        <v>0</v>
      </c>
      <c r="K39" s="871"/>
      <c r="L39" s="880">
        <f>H_MNT!L208</f>
        <v>0</v>
      </c>
      <c r="M39" s="871"/>
      <c r="N39" s="880">
        <f>H_MNT!M208</f>
        <v>0</v>
      </c>
      <c r="O39" s="871"/>
      <c r="P39" s="880">
        <f>H_MNT!N208</f>
        <v>0</v>
      </c>
      <c r="Q39" s="871"/>
      <c r="R39" s="880">
        <f>H_MNT!O208</f>
        <v>0</v>
      </c>
      <c r="S39" s="871"/>
      <c r="T39" s="880">
        <f>H_MNT!P208</f>
        <v>0</v>
      </c>
      <c r="U39" s="871"/>
      <c r="V39" s="880">
        <f>H_MNT!Q208</f>
        <v>0</v>
      </c>
      <c r="W39" s="871"/>
      <c r="X39" s="880">
        <f>H_MNT!R208</f>
        <v>0</v>
      </c>
      <c r="Y39" s="871"/>
      <c r="Z39" s="880">
        <f>H_MNT!S208</f>
        <v>0</v>
      </c>
      <c r="AA39" s="871"/>
      <c r="AB39" s="880">
        <f>H_MNT!T208</f>
        <v>0</v>
      </c>
      <c r="AC39" s="871"/>
      <c r="AD39" s="880">
        <f>H_MNT!U208</f>
        <v>0</v>
      </c>
      <c r="AE39" s="871"/>
      <c r="AF39" s="872">
        <f>H_MNT!V208</f>
        <v>0</v>
      </c>
      <c r="AG39" s="873"/>
      <c r="AH39" s="13"/>
      <c r="AI39" s="484"/>
    </row>
    <row r="40" spans="2:35" ht="12" customHeight="1" x14ac:dyDescent="0.2">
      <c r="B40" s="531"/>
      <c r="C40" s="944" t="str">
        <f>H_Label!B409</f>
        <v>heures manquantes</v>
      </c>
      <c r="D40" s="944"/>
      <c r="E40" s="944"/>
      <c r="F40" s="944"/>
      <c r="G40" s="532" t="str">
        <f>H_Label!B411</f>
        <v>hm</v>
      </c>
      <c r="H40" s="1004">
        <f>H_MNT!J209</f>
        <v>0</v>
      </c>
      <c r="I40" s="946"/>
      <c r="J40" s="945">
        <f>H_MNT!K209</f>
        <v>0</v>
      </c>
      <c r="K40" s="946"/>
      <c r="L40" s="945">
        <f>H_MNT!L209</f>
        <v>0</v>
      </c>
      <c r="M40" s="946"/>
      <c r="N40" s="945">
        <f>H_MNT!M209</f>
        <v>0</v>
      </c>
      <c r="O40" s="946"/>
      <c r="P40" s="945">
        <f>H_MNT!N209</f>
        <v>0</v>
      </c>
      <c r="Q40" s="946"/>
      <c r="R40" s="945">
        <f>H_MNT!O209</f>
        <v>0</v>
      </c>
      <c r="S40" s="946"/>
      <c r="T40" s="945">
        <f>H_MNT!P209</f>
        <v>0</v>
      </c>
      <c r="U40" s="946"/>
      <c r="V40" s="945">
        <f>H_MNT!Q209</f>
        <v>0</v>
      </c>
      <c r="W40" s="946"/>
      <c r="X40" s="945">
        <f>H_MNT!R209</f>
        <v>0</v>
      </c>
      <c r="Y40" s="946"/>
      <c r="Z40" s="945">
        <f>H_MNT!S209</f>
        <v>0</v>
      </c>
      <c r="AA40" s="946"/>
      <c r="AB40" s="945">
        <f>H_MNT!T209</f>
        <v>0</v>
      </c>
      <c r="AC40" s="946"/>
      <c r="AD40" s="945">
        <f>H_MNT!U209</f>
        <v>0</v>
      </c>
      <c r="AE40" s="946"/>
      <c r="AF40" s="993">
        <f>H_MNT!V209</f>
        <v>0</v>
      </c>
      <c r="AG40" s="994"/>
      <c r="AH40" s="13"/>
    </row>
    <row r="41" spans="2:35" ht="16.5" customHeight="1" x14ac:dyDescent="0.2">
      <c r="B41" s="459" t="str">
        <f>H_Label!B414</f>
        <v>total (majorations inclus)</v>
      </c>
      <c r="C41" s="995" t="str">
        <f>H_Label!B415</f>
        <v>heures productives et inproductives</v>
      </c>
      <c r="D41" s="996"/>
      <c r="E41" s="996"/>
      <c r="F41" s="996"/>
      <c r="G41" s="997"/>
      <c r="H41" s="960">
        <f>SUM(H9:I11,H14:I15,H17:I18,H20:I21,H23:I30,H39)+H32-H12</f>
        <v>16</v>
      </c>
      <c r="I41" s="915"/>
      <c r="J41" s="914">
        <f t="shared" ref="J41" si="17">SUM(J9:K11,J14:K15,J17:K18,J20:K21,J23:K30,J39)+J32-J12</f>
        <v>0</v>
      </c>
      <c r="K41" s="915"/>
      <c r="L41" s="914">
        <f t="shared" ref="L41" si="18">SUM(L9:M11,L14:M15,L17:M18,L20:M21,L23:M30,L39)+L32-L12</f>
        <v>0</v>
      </c>
      <c r="M41" s="915"/>
      <c r="N41" s="914">
        <f t="shared" ref="N41" si="19">SUM(N9:O11,N14:O15,N17:O18,N20:O21,N23:O30,N39)+N32-N12</f>
        <v>16</v>
      </c>
      <c r="O41" s="915"/>
      <c r="P41" s="914">
        <f t="shared" ref="P41" si="20">SUM(P9:Q11,P14:Q15,P17:Q18,P20:Q21,P23:Q30,P39)+P32-P12</f>
        <v>24</v>
      </c>
      <c r="Q41" s="915"/>
      <c r="R41" s="914">
        <f t="shared" ref="R41" si="21">SUM(R9:S11,R14:S15,R17:S18,R20:S21,R23:S30,R39)+R32-R12</f>
        <v>0</v>
      </c>
      <c r="S41" s="915"/>
      <c r="T41" s="914">
        <f t="shared" ref="T41" si="22">SUM(T9:U11,T14:U15,T17:U18,T20:U21,T23:U30,T39)+T32-T12</f>
        <v>0</v>
      </c>
      <c r="U41" s="915"/>
      <c r="V41" s="914">
        <f t="shared" ref="V41" si="23">SUM(V9:W11,V14:W15,V17:W18,V20:W21,V23:W30,V39)+V32-V12</f>
        <v>0</v>
      </c>
      <c r="W41" s="915"/>
      <c r="X41" s="914">
        <f t="shared" ref="X41" si="24">SUM(X9:Y11,X14:Y15,X17:Y18,X20:Y21,X23:Y30,X39)+X32-X12</f>
        <v>0</v>
      </c>
      <c r="Y41" s="915"/>
      <c r="Z41" s="914">
        <f>SUM(Z9:AA11,Z14:AA15,Z17:AA18,Z20:AA21,Z23:AA30,Z39)-Z12</f>
        <v>0</v>
      </c>
      <c r="AA41" s="915"/>
      <c r="AB41" s="914">
        <f t="shared" ref="AB41" si="25">SUM(AB9:AC11,AB14:AC15,AB17:AC18,AB20:AC21,AB23:AC30,AB39)-AB12</f>
        <v>0</v>
      </c>
      <c r="AC41" s="915"/>
      <c r="AD41" s="914">
        <f t="shared" ref="AD41" si="26">SUM(AD9:AE11,AD14:AE15,AD17:AE18,AD20:AE21,AD23:AE30,AD39)-AD12</f>
        <v>16</v>
      </c>
      <c r="AE41" s="915"/>
      <c r="AF41" s="988">
        <f>SUM(H41:AE41)</f>
        <v>72</v>
      </c>
      <c r="AG41" s="989"/>
      <c r="AH41" s="482"/>
    </row>
    <row r="42" spans="2:35" ht="27" customHeight="1" x14ac:dyDescent="0.2">
      <c r="B42" s="471" t="str">
        <f>H_Label!B417</f>
        <v>comparaison des heures</v>
      </c>
      <c r="C42" s="861" t="str">
        <f>H_Label!B418</f>
        <v>y compris les heures de l'année passée</v>
      </c>
      <c r="D42" s="861"/>
      <c r="E42" s="861"/>
      <c r="F42" s="861"/>
      <c r="G42" s="862"/>
      <c r="H42" s="990">
        <f>H41-H8+IF(B_fldSaldoVJ&lt;0,B_fldSaldoVJ,0)-H38</f>
        <v>-160</v>
      </c>
      <c r="I42" s="913"/>
      <c r="J42" s="991">
        <f>IFERROR(J41-J8-J38,J41-J8-J38)</f>
        <v>-160</v>
      </c>
      <c r="K42" s="992"/>
      <c r="L42" s="912">
        <f>IFERROR(L41-L8-L38,L41-L8-L38)</f>
        <v>-176</v>
      </c>
      <c r="M42" s="913"/>
      <c r="N42" s="912">
        <f>IFERROR(N41-N8-N38,N41-N8-N38)</f>
        <v>-160</v>
      </c>
      <c r="O42" s="913"/>
      <c r="P42" s="912">
        <f>IFERROR(P41-P8-P38,P41-P8-P38)</f>
        <v>-144</v>
      </c>
      <c r="Q42" s="913"/>
      <c r="R42" s="912">
        <f>IFERROR(R41-R8-R38,R41-R8-R38)</f>
        <v>-176</v>
      </c>
      <c r="S42" s="913"/>
      <c r="T42" s="912">
        <f>IFERROR(T41-T8-T38,T41-T8-T38)</f>
        <v>-184</v>
      </c>
      <c r="U42" s="913"/>
      <c r="V42" s="912">
        <f>IFERROR(V41-V8-V38,V41-V8-V38)</f>
        <v>-168</v>
      </c>
      <c r="W42" s="913"/>
      <c r="X42" s="912">
        <f>IFERROR(X41-X8-X38,X41-X8-X38)</f>
        <v>-176</v>
      </c>
      <c r="Y42" s="913"/>
      <c r="Z42" s="912">
        <f>IFERROR(Z41-Z8-Z38,Z41-Z8-Z38)</f>
        <v>-176</v>
      </c>
      <c r="AA42" s="913"/>
      <c r="AB42" s="912">
        <f>IFERROR(AB41-AB8-AB38,AB41-AB8-AB38)</f>
        <v>-168</v>
      </c>
      <c r="AC42" s="913"/>
      <c r="AD42" s="912">
        <f>IFERROR(AD41-AD8-AD38,AD41-AD8-AD38)</f>
        <v>-168</v>
      </c>
      <c r="AE42" s="913"/>
      <c r="AF42" s="850">
        <f>ROUND(SUM(H42:AE42),4)</f>
        <v>-2016</v>
      </c>
      <c r="AG42" s="851"/>
      <c r="AH42" s="482"/>
    </row>
    <row r="43" spans="2:35" ht="27" customHeight="1" x14ac:dyDescent="0.2">
      <c r="B43" s="460" t="str">
        <f>H_Label!B419</f>
        <v>.</v>
      </c>
      <c r="C43" s="984" t="str">
        <f>H_Label!B420</f>
        <v>aux heures théorique (cumulées)</v>
      </c>
      <c r="D43" s="984"/>
      <c r="E43" s="984"/>
      <c r="F43" s="984"/>
      <c r="G43" s="985"/>
      <c r="H43" s="1014">
        <f>IF(H42=0,0,H42)</f>
        <v>-160</v>
      </c>
      <c r="I43" s="919"/>
      <c r="J43" s="918">
        <f>H43+J42</f>
        <v>-320</v>
      </c>
      <c r="K43" s="919"/>
      <c r="L43" s="918">
        <f t="shared" ref="L43" si="27">J43+L42</f>
        <v>-496</v>
      </c>
      <c r="M43" s="919"/>
      <c r="N43" s="918">
        <f t="shared" ref="N43" si="28">L43+N42</f>
        <v>-656</v>
      </c>
      <c r="O43" s="919"/>
      <c r="P43" s="918">
        <f t="shared" ref="P43" si="29">N43+P42</f>
        <v>-800</v>
      </c>
      <c r="Q43" s="919"/>
      <c r="R43" s="918">
        <f t="shared" ref="R43" si="30">P43+R42</f>
        <v>-976</v>
      </c>
      <c r="S43" s="919"/>
      <c r="T43" s="918">
        <f t="shared" ref="T43" si="31">R43+T42</f>
        <v>-1160</v>
      </c>
      <c r="U43" s="919"/>
      <c r="V43" s="918">
        <f t="shared" ref="V43" si="32">T43+V42</f>
        <v>-1328</v>
      </c>
      <c r="W43" s="919"/>
      <c r="X43" s="918">
        <f t="shared" ref="X43" si="33">V43+X42</f>
        <v>-1504</v>
      </c>
      <c r="Y43" s="919"/>
      <c r="Z43" s="918">
        <f t="shared" ref="Z43" si="34">X43+Z42</f>
        <v>-1680</v>
      </c>
      <c r="AA43" s="919"/>
      <c r="AB43" s="918">
        <f t="shared" ref="AB43" si="35">Z43+AB42</f>
        <v>-1848</v>
      </c>
      <c r="AC43" s="919"/>
      <c r="AD43" s="918">
        <f>AB43+AD42</f>
        <v>-2016</v>
      </c>
      <c r="AE43" s="919"/>
      <c r="AF43" s="930"/>
      <c r="AG43" s="931"/>
      <c r="AH43" s="13"/>
      <c r="AI43" s="14"/>
    </row>
    <row r="44" spans="2:35" ht="14.45" customHeight="1" x14ac:dyDescent="0.2">
      <c r="B44" s="949" t="str">
        <f>H_Label!B446</f>
        <v>vacances (contrôle)</v>
      </c>
      <c r="C44" s="951" t="str">
        <f>H_Label!B447</f>
        <v>vacances année passée</v>
      </c>
      <c r="D44" s="951"/>
      <c r="E44" s="951"/>
      <c r="F44" s="951"/>
      <c r="G44" s="952"/>
      <c r="H44" s="955">
        <f>H_MNT!V180</f>
        <v>0</v>
      </c>
      <c r="I44" s="939"/>
      <c r="J44" s="932" t="str">
        <f>H_Label!B448</f>
        <v>vacances selon CCT</v>
      </c>
      <c r="K44" s="933"/>
      <c r="L44" s="933"/>
      <c r="M44" s="934"/>
      <c r="N44" s="938">
        <f ca="1">H_MNT!V181</f>
        <v>176</v>
      </c>
      <c r="O44" s="939"/>
      <c r="P44" s="949" t="str">
        <f>H_Label!B449</f>
        <v>total des vacances</v>
      </c>
      <c r="Q44" s="951"/>
      <c r="R44" s="951"/>
      <c r="S44" s="952"/>
      <c r="T44" s="938">
        <f ca="1">ROUND(SUM(H44+N44),4)</f>
        <v>176</v>
      </c>
      <c r="U44" s="939"/>
      <c r="V44" s="949" t="str">
        <f>H_Label!B450</f>
        <v>vacances prises</v>
      </c>
      <c r="W44" s="951"/>
      <c r="X44" s="951"/>
      <c r="Y44" s="952"/>
      <c r="Z44" s="938">
        <f>AF18</f>
        <v>0</v>
      </c>
      <c r="AA44" s="939"/>
      <c r="AB44" s="932" t="str">
        <f>H_Label!B451</f>
        <v>vacances (corrections)</v>
      </c>
      <c r="AC44" s="933"/>
      <c r="AD44" s="933"/>
      <c r="AE44" s="934"/>
      <c r="AF44" s="938">
        <f>H_MNT!V182</f>
        <v>0</v>
      </c>
      <c r="AG44" s="939"/>
      <c r="AH44" s="13"/>
      <c r="AI44" s="14"/>
    </row>
    <row r="45" spans="2:35" ht="14.45" customHeight="1" x14ac:dyDescent="0.2">
      <c r="B45" s="950"/>
      <c r="C45" s="953"/>
      <c r="D45" s="953"/>
      <c r="E45" s="953"/>
      <c r="F45" s="953"/>
      <c r="G45" s="954"/>
      <c r="H45" s="956"/>
      <c r="I45" s="941"/>
      <c r="J45" s="935"/>
      <c r="K45" s="936"/>
      <c r="L45" s="936"/>
      <c r="M45" s="937"/>
      <c r="N45" s="940"/>
      <c r="O45" s="941"/>
      <c r="P45" s="950"/>
      <c r="Q45" s="953"/>
      <c r="R45" s="953"/>
      <c r="S45" s="954"/>
      <c r="T45" s="940"/>
      <c r="U45" s="941"/>
      <c r="V45" s="950"/>
      <c r="W45" s="953"/>
      <c r="X45" s="953"/>
      <c r="Y45" s="954"/>
      <c r="Z45" s="940"/>
      <c r="AA45" s="941"/>
      <c r="AB45" s="935"/>
      <c r="AC45" s="936"/>
      <c r="AD45" s="936"/>
      <c r="AE45" s="937"/>
      <c r="AF45" s="940"/>
      <c r="AG45" s="941"/>
      <c r="AH45" s="13"/>
      <c r="AI45" s="14"/>
    </row>
    <row r="46" spans="2:35" ht="9.6" customHeight="1" x14ac:dyDescent="0.2">
      <c r="B46" s="905" t="str">
        <f>H_Label!$B$455</f>
        <v>contrôle de carence</v>
      </c>
      <c r="C46" s="906" t="str">
        <f>H_Label!$B$456</f>
        <v>heures de carence total</v>
      </c>
      <c r="D46" s="906"/>
      <c r="E46" s="906"/>
      <c r="F46" s="906"/>
      <c r="G46" s="907"/>
      <c r="H46" s="893">
        <f>AF22</f>
        <v>0</v>
      </c>
      <c r="I46" s="894"/>
      <c r="J46" s="895" t="str">
        <f>H_Label!$B$457</f>
        <v>compensé par heures</v>
      </c>
      <c r="K46" s="896"/>
      <c r="L46" s="896"/>
      <c r="M46" s="897"/>
      <c r="N46" s="901"/>
      <c r="O46" s="902"/>
      <c r="P46" s="905" t="str">
        <f>H_Label!$B$458</f>
        <v>compensé par salaire</v>
      </c>
      <c r="Q46" s="906"/>
      <c r="R46" s="906"/>
      <c r="S46" s="907"/>
      <c r="T46" s="901"/>
      <c r="U46" s="902"/>
      <c r="V46" s="972" t="str">
        <f>IF(ROUND($H$46-$N$46-$T$46,2)=0,H_Label!$B$460,IF(AND($H$46=0,OR($N$46&lt;&gt;0,$T$46&lt;&gt;0)),H_Label!B461,H_Label!$B$459))</f>
        <v>jours de carence facturés correctement</v>
      </c>
      <c r="W46" s="973"/>
      <c r="X46" s="973"/>
      <c r="Y46" s="973"/>
      <c r="Z46" s="973"/>
      <c r="AA46" s="973"/>
      <c r="AB46" s="973"/>
      <c r="AC46" s="973"/>
      <c r="AD46" s="973"/>
      <c r="AE46" s="973"/>
      <c r="AF46" s="973"/>
      <c r="AG46" s="974"/>
      <c r="AH46" s="13"/>
      <c r="AI46" s="14"/>
    </row>
    <row r="47" spans="2:35" ht="9.6" customHeight="1" x14ac:dyDescent="0.2">
      <c r="B47" s="908"/>
      <c r="C47" s="909"/>
      <c r="D47" s="909"/>
      <c r="E47" s="909"/>
      <c r="F47" s="909"/>
      <c r="G47" s="910"/>
      <c r="H47" s="887"/>
      <c r="I47" s="888"/>
      <c r="J47" s="898"/>
      <c r="K47" s="899"/>
      <c r="L47" s="899"/>
      <c r="M47" s="900"/>
      <c r="N47" s="903"/>
      <c r="O47" s="904"/>
      <c r="P47" s="908"/>
      <c r="Q47" s="909"/>
      <c r="R47" s="909"/>
      <c r="S47" s="910"/>
      <c r="T47" s="903"/>
      <c r="U47" s="904"/>
      <c r="V47" s="975"/>
      <c r="W47" s="976"/>
      <c r="X47" s="976"/>
      <c r="Y47" s="976"/>
      <c r="Z47" s="976"/>
      <c r="AA47" s="976"/>
      <c r="AB47" s="976"/>
      <c r="AC47" s="976"/>
      <c r="AD47" s="976"/>
      <c r="AE47" s="976"/>
      <c r="AF47" s="976"/>
      <c r="AG47" s="977"/>
      <c r="AH47" s="13"/>
      <c r="AI47" s="14"/>
    </row>
    <row r="48" spans="2:35" ht="12.95" customHeight="1" x14ac:dyDescent="0.2">
      <c r="B48" s="33"/>
      <c r="C48" s="33"/>
      <c r="D48" s="33"/>
      <c r="E48" s="33"/>
      <c r="F48" s="33"/>
      <c r="G48" s="33"/>
      <c r="H48" s="535"/>
      <c r="I48" s="535"/>
      <c r="J48" s="535"/>
      <c r="K48" s="535"/>
      <c r="L48" s="535"/>
      <c r="M48" s="535"/>
      <c r="N48" s="889" t="str">
        <f>H_Label!B464&amp;" "&amp;A_Jahr+1</f>
        <v>report pour l'année 2027</v>
      </c>
      <c r="O48" s="889"/>
      <c r="P48" s="889"/>
      <c r="Q48" s="889"/>
      <c r="R48" s="889"/>
      <c r="S48" s="889"/>
      <c r="T48" s="889"/>
      <c r="U48" s="890"/>
      <c r="V48" s="962" t="str">
        <f>H_Label!B465</f>
        <v>se des heures</v>
      </c>
      <c r="W48" s="963"/>
      <c r="X48" s="963"/>
      <c r="Y48" s="964"/>
      <c r="Z48" s="968">
        <f>ROUND(AF42-N46,4)</f>
        <v>-2016</v>
      </c>
      <c r="AA48" s="969"/>
      <c r="AB48" s="920" t="str">
        <f>H_Label!B466</f>
        <v>vacances report</v>
      </c>
      <c r="AC48" s="921"/>
      <c r="AD48" s="921"/>
      <c r="AE48" s="922"/>
      <c r="AF48" s="926">
        <f ca="1">T44-Z44+AF44</f>
        <v>176</v>
      </c>
      <c r="AG48" s="927"/>
      <c r="AH48" s="13"/>
      <c r="AI48" s="14"/>
    </row>
    <row r="49" spans="2:35" ht="12" customHeight="1" x14ac:dyDescent="0.2">
      <c r="B49" s="150"/>
      <c r="C49" s="150"/>
      <c r="D49" s="150"/>
      <c r="E49" s="150"/>
      <c r="F49" s="150"/>
      <c r="G49" s="150"/>
      <c r="H49" s="536"/>
      <c r="I49" s="536"/>
      <c r="J49" s="536"/>
      <c r="K49" s="536"/>
      <c r="L49" s="536"/>
      <c r="M49" s="536"/>
      <c r="N49" s="891"/>
      <c r="O49" s="891"/>
      <c r="P49" s="891"/>
      <c r="Q49" s="891"/>
      <c r="R49" s="891"/>
      <c r="S49" s="891"/>
      <c r="T49" s="891"/>
      <c r="U49" s="892"/>
      <c r="V49" s="965"/>
      <c r="W49" s="966"/>
      <c r="X49" s="966"/>
      <c r="Y49" s="967"/>
      <c r="Z49" s="970"/>
      <c r="AA49" s="971"/>
      <c r="AB49" s="923"/>
      <c r="AC49" s="924"/>
      <c r="AD49" s="924"/>
      <c r="AE49" s="925"/>
      <c r="AF49" s="928"/>
      <c r="AG49" s="929"/>
      <c r="AH49" s="13"/>
      <c r="AI49" s="14"/>
    </row>
    <row r="50" spans="2:35" ht="12.95" customHeight="1" x14ac:dyDescent="0.25">
      <c r="B50" s="148"/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481"/>
    </row>
    <row r="51" spans="2:35" ht="12.95" customHeight="1" x14ac:dyDescent="0.25">
      <c r="B51" s="148"/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481"/>
    </row>
    <row r="52" spans="2:35" s="91" customFormat="1" ht="24.6" customHeight="1" x14ac:dyDescent="0.2">
      <c r="B52" s="90" t="str">
        <f>H_Label!$B$475</f>
        <v>J'ai contrôlé les comptes annuels et vérifié leur exactitude.</v>
      </c>
      <c r="C52" s="155"/>
      <c r="D52" s="155"/>
      <c r="E52" s="155"/>
      <c r="F52" s="155"/>
      <c r="G52" s="155"/>
      <c r="H52" s="155"/>
      <c r="I52" s="155"/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  <c r="Y52" s="155"/>
      <c r="Z52" s="155"/>
      <c r="AA52" s="155"/>
      <c r="AB52" s="155"/>
      <c r="AC52" s="155"/>
      <c r="AD52" s="155"/>
      <c r="AE52" s="155"/>
      <c r="AF52" s="155"/>
      <c r="AG52" s="155"/>
      <c r="AH52" s="483"/>
    </row>
    <row r="53" spans="2:35" ht="12.95" customHeight="1" x14ac:dyDescent="0.25">
      <c r="C53" s="809"/>
      <c r="D53" s="809"/>
      <c r="E53" s="809"/>
      <c r="F53" s="809"/>
      <c r="G53" s="809"/>
      <c r="H53" s="809"/>
      <c r="I53" s="809"/>
      <c r="J53" s="809"/>
      <c r="S53" s="809"/>
      <c r="T53" s="809"/>
      <c r="U53" s="809"/>
      <c r="V53" s="809"/>
      <c r="W53" s="809"/>
      <c r="X53" s="809"/>
      <c r="Y53" s="809"/>
      <c r="Z53" s="809"/>
      <c r="AE53" s="809"/>
      <c r="AF53" s="809"/>
      <c r="AG53" s="809"/>
    </row>
    <row r="54" spans="2:35" ht="15.75" x14ac:dyDescent="0.25">
      <c r="B54" s="156" t="str">
        <f>H_Label!B44</f>
        <v>visa employé</v>
      </c>
      <c r="C54" s="810"/>
      <c r="D54" s="810"/>
      <c r="E54" s="810"/>
      <c r="F54" s="810"/>
      <c r="G54" s="810"/>
      <c r="H54" s="810"/>
      <c r="I54" s="810"/>
      <c r="J54" s="810"/>
      <c r="K54" s="156"/>
      <c r="L54" s="148"/>
      <c r="M54" s="156" t="str">
        <f>H_Label!B45</f>
        <v>visa supérieur hiérarchique</v>
      </c>
      <c r="N54" s="148"/>
      <c r="O54" s="15"/>
      <c r="P54" s="156"/>
      <c r="Q54" s="156"/>
      <c r="R54" s="156"/>
      <c r="S54" s="810"/>
      <c r="T54" s="810"/>
      <c r="U54" s="810"/>
      <c r="V54" s="810"/>
      <c r="W54" s="810"/>
      <c r="X54" s="810"/>
      <c r="Y54" s="810"/>
      <c r="Z54" s="810"/>
      <c r="AA54" s="148"/>
      <c r="AB54" s="15"/>
      <c r="AC54" s="156" t="str">
        <f>H_Label!B46</f>
        <v>date</v>
      </c>
      <c r="AD54" s="15"/>
      <c r="AE54" s="810"/>
      <c r="AF54" s="810"/>
      <c r="AG54" s="810"/>
      <c r="AH54" s="15"/>
    </row>
    <row r="55" spans="2:35" ht="12.95" customHeight="1" x14ac:dyDescent="0.25"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  <c r="AF55" s="148"/>
      <c r="AG55" s="148"/>
      <c r="AH55" s="481"/>
    </row>
    <row r="59" spans="2:35" ht="12.95" customHeight="1" x14ac:dyDescent="0.25">
      <c r="D59" s="528"/>
    </row>
    <row r="60" spans="2:35" ht="12.95" customHeight="1" x14ac:dyDescent="0.25">
      <c r="Q60" s="528"/>
    </row>
  </sheetData>
  <sheetProtection algorithmName="SHA-512" hashValue="3BGLz+Q4dR6WCAmBx+Ff498xuDgYdlRZ4NXepn3WwXOQsrRBxl8/H+B3w/c3g0jsda5L1ivful8xZVn7Yaw50A==" saltValue="rF0nj5Bm0QNuSbX9tpfneA==" spinCount="100000" sheet="1" objects="1" scenarios="1"/>
  <mergeCells count="522">
    <mergeCell ref="X13:Y13"/>
    <mergeCell ref="Z13:AA13"/>
    <mergeCell ref="AB13:AC13"/>
    <mergeCell ref="AD13:AE13"/>
    <mergeCell ref="AF13:AG13"/>
    <mergeCell ref="X25:Y25"/>
    <mergeCell ref="Z25:AA25"/>
    <mergeCell ref="AB25:AC25"/>
    <mergeCell ref="AD25:AE25"/>
    <mergeCell ref="AF25:AG25"/>
    <mergeCell ref="AB20:AC20"/>
    <mergeCell ref="AD20:AE20"/>
    <mergeCell ref="AF20:AG20"/>
    <mergeCell ref="AD16:AE16"/>
    <mergeCell ref="AF16:AG16"/>
    <mergeCell ref="AD18:AE18"/>
    <mergeCell ref="AF18:AG18"/>
    <mergeCell ref="AB18:AC18"/>
    <mergeCell ref="X17:Y17"/>
    <mergeCell ref="Z17:AA17"/>
    <mergeCell ref="AB17:AC17"/>
    <mergeCell ref="AD17:AE17"/>
    <mergeCell ref="AF17:AG17"/>
    <mergeCell ref="X20:Y20"/>
    <mergeCell ref="B25:C25"/>
    <mergeCell ref="H25:I25"/>
    <mergeCell ref="J25:K25"/>
    <mergeCell ref="L25:M25"/>
    <mergeCell ref="N25:O25"/>
    <mergeCell ref="P25:Q25"/>
    <mergeCell ref="R25:S25"/>
    <mergeCell ref="T25:U25"/>
    <mergeCell ref="V25:W25"/>
    <mergeCell ref="C53:J54"/>
    <mergeCell ref="S53:Z54"/>
    <mergeCell ref="AE53:AG54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N43:O43"/>
    <mergeCell ref="P43:Q43"/>
    <mergeCell ref="X41:Y41"/>
    <mergeCell ref="Z41:AA41"/>
    <mergeCell ref="C43:G43"/>
    <mergeCell ref="H43:I43"/>
    <mergeCell ref="J43:K43"/>
    <mergeCell ref="V41:W41"/>
    <mergeCell ref="J41:K41"/>
    <mergeCell ref="L41:M41"/>
    <mergeCell ref="N41:O41"/>
    <mergeCell ref="H40:I40"/>
    <mergeCell ref="AA1:AB1"/>
    <mergeCell ref="AB7:AC7"/>
    <mergeCell ref="O1:P1"/>
    <mergeCell ref="Q1:R1"/>
    <mergeCell ref="S1:T1"/>
    <mergeCell ref="U1:V1"/>
    <mergeCell ref="W1:X1"/>
    <mergeCell ref="Y1:Z1"/>
    <mergeCell ref="B1:D1"/>
    <mergeCell ref="E1:F1"/>
    <mergeCell ref="G1:H1"/>
    <mergeCell ref="I1:J1"/>
    <mergeCell ref="K1:L1"/>
    <mergeCell ref="M1:N1"/>
    <mergeCell ref="Z7:AA7"/>
    <mergeCell ref="H3:T5"/>
    <mergeCell ref="V3:AD5"/>
    <mergeCell ref="B4:G5"/>
    <mergeCell ref="AD6:AE6"/>
    <mergeCell ref="C7:G7"/>
    <mergeCell ref="B6:G6"/>
    <mergeCell ref="AF6:AG6"/>
    <mergeCell ref="H7:I7"/>
    <mergeCell ref="J7:K7"/>
    <mergeCell ref="L7:M7"/>
    <mergeCell ref="N7:O7"/>
    <mergeCell ref="P7:Q7"/>
    <mergeCell ref="R7:S7"/>
    <mergeCell ref="T7:U7"/>
    <mergeCell ref="R6:S6"/>
    <mergeCell ref="T6:U6"/>
    <mergeCell ref="V6:W6"/>
    <mergeCell ref="X6:Y6"/>
    <mergeCell ref="Z6:AA6"/>
    <mergeCell ref="AB6:AC6"/>
    <mergeCell ref="H6:I6"/>
    <mergeCell ref="J6:K6"/>
    <mergeCell ref="L6:M6"/>
    <mergeCell ref="N6:O6"/>
    <mergeCell ref="P6:Q6"/>
    <mergeCell ref="V7:W7"/>
    <mergeCell ref="X7:Y7"/>
    <mergeCell ref="AD7:AE7"/>
    <mergeCell ref="AF7:AG7"/>
    <mergeCell ref="H8:I8"/>
    <mergeCell ref="J8:K8"/>
    <mergeCell ref="L8:M8"/>
    <mergeCell ref="N8:O8"/>
    <mergeCell ref="AB8:AC8"/>
    <mergeCell ref="P8:Q8"/>
    <mergeCell ref="R8:S8"/>
    <mergeCell ref="T8:U8"/>
    <mergeCell ref="V8:W8"/>
    <mergeCell ref="X8:Y8"/>
    <mergeCell ref="Z8:AA8"/>
    <mergeCell ref="AD8:AE8"/>
    <mergeCell ref="AF8:AG8"/>
    <mergeCell ref="AD9:AE9"/>
    <mergeCell ref="AF9:AG9"/>
    <mergeCell ref="C10:G10"/>
    <mergeCell ref="H10:I10"/>
    <mergeCell ref="J10:K10"/>
    <mergeCell ref="L10:M10"/>
    <mergeCell ref="N10:O10"/>
    <mergeCell ref="P10:Q10"/>
    <mergeCell ref="R10:S10"/>
    <mergeCell ref="T10:U10"/>
    <mergeCell ref="R9:S9"/>
    <mergeCell ref="T9:U9"/>
    <mergeCell ref="V9:W9"/>
    <mergeCell ref="X9:Y9"/>
    <mergeCell ref="Z9:AA9"/>
    <mergeCell ref="AB9:AC9"/>
    <mergeCell ref="C9:G9"/>
    <mergeCell ref="H9:I9"/>
    <mergeCell ref="J9:K9"/>
    <mergeCell ref="L9:M9"/>
    <mergeCell ref="N9:O9"/>
    <mergeCell ref="P9:Q9"/>
    <mergeCell ref="C14:G14"/>
    <mergeCell ref="H14:I14"/>
    <mergeCell ref="J14:K14"/>
    <mergeCell ref="L14:M14"/>
    <mergeCell ref="N14:O14"/>
    <mergeCell ref="P14:Q14"/>
    <mergeCell ref="V10:W10"/>
    <mergeCell ref="X10:Y10"/>
    <mergeCell ref="Z10:AA10"/>
    <mergeCell ref="P11:Q11"/>
    <mergeCell ref="R11:S11"/>
    <mergeCell ref="T11:U11"/>
    <mergeCell ref="V11:W11"/>
    <mergeCell ref="X11:Y11"/>
    <mergeCell ref="Z11:AA11"/>
    <mergeCell ref="C13:G13"/>
    <mergeCell ref="H13:I13"/>
    <mergeCell ref="J13:K13"/>
    <mergeCell ref="L13:M13"/>
    <mergeCell ref="N13:O13"/>
    <mergeCell ref="P13:Q13"/>
    <mergeCell ref="R13:S13"/>
    <mergeCell ref="T13:U13"/>
    <mergeCell ref="V13:W13"/>
    <mergeCell ref="AF10:AG10"/>
    <mergeCell ref="H15:I15"/>
    <mergeCell ref="J15:K15"/>
    <mergeCell ref="L15:M15"/>
    <mergeCell ref="N15:O15"/>
    <mergeCell ref="P15:Q15"/>
    <mergeCell ref="R15:S15"/>
    <mergeCell ref="T15:U15"/>
    <mergeCell ref="R14:S14"/>
    <mergeCell ref="T14:U14"/>
    <mergeCell ref="V15:W15"/>
    <mergeCell ref="X15:Y15"/>
    <mergeCell ref="Z15:AA15"/>
    <mergeCell ref="AB15:AC15"/>
    <mergeCell ref="AD15:AE15"/>
    <mergeCell ref="AF15:AG15"/>
    <mergeCell ref="AD14:AE14"/>
    <mergeCell ref="AF14:AG14"/>
    <mergeCell ref="V14:W14"/>
    <mergeCell ref="X14:Y14"/>
    <mergeCell ref="Z14:AA14"/>
    <mergeCell ref="AB14:AC14"/>
    <mergeCell ref="AB10:AC10"/>
    <mergeCell ref="AD10:AE10"/>
    <mergeCell ref="V16:W16"/>
    <mergeCell ref="X16:Y16"/>
    <mergeCell ref="Z16:AA16"/>
    <mergeCell ref="AB16:AC16"/>
    <mergeCell ref="H16:I16"/>
    <mergeCell ref="J16:K16"/>
    <mergeCell ref="L16:M16"/>
    <mergeCell ref="N16:O16"/>
    <mergeCell ref="P16:Q16"/>
    <mergeCell ref="R16:S16"/>
    <mergeCell ref="T16:U16"/>
    <mergeCell ref="Z20:AA20"/>
    <mergeCell ref="B18:C18"/>
    <mergeCell ref="B20:C20"/>
    <mergeCell ref="R19:S19"/>
    <mergeCell ref="T19:U19"/>
    <mergeCell ref="V19:W19"/>
    <mergeCell ref="X19:Y19"/>
    <mergeCell ref="Z19:AA19"/>
    <mergeCell ref="R18:S18"/>
    <mergeCell ref="T18:U18"/>
    <mergeCell ref="V18:W18"/>
    <mergeCell ref="X18:Y18"/>
    <mergeCell ref="Z18:AA18"/>
    <mergeCell ref="H20:I20"/>
    <mergeCell ref="J20:K20"/>
    <mergeCell ref="L20:M20"/>
    <mergeCell ref="N20:O20"/>
    <mergeCell ref="P20:Q20"/>
    <mergeCell ref="R20:S20"/>
    <mergeCell ref="T20:U20"/>
    <mergeCell ref="V17:W17"/>
    <mergeCell ref="N21:O21"/>
    <mergeCell ref="P21:Q21"/>
    <mergeCell ref="H17:I17"/>
    <mergeCell ref="J17:K17"/>
    <mergeCell ref="L17:M17"/>
    <mergeCell ref="N17:O17"/>
    <mergeCell ref="P17:Q17"/>
    <mergeCell ref="H19:I19"/>
    <mergeCell ref="J19:K19"/>
    <mergeCell ref="L19:M19"/>
    <mergeCell ref="N19:O19"/>
    <mergeCell ref="P19:Q19"/>
    <mergeCell ref="H18:I18"/>
    <mergeCell ref="J18:K18"/>
    <mergeCell ref="L18:M18"/>
    <mergeCell ref="N18:O18"/>
    <mergeCell ref="P18:Q18"/>
    <mergeCell ref="V20:W20"/>
    <mergeCell ref="R17:S17"/>
    <mergeCell ref="T17:U17"/>
    <mergeCell ref="V22:W22"/>
    <mergeCell ref="X22:Y22"/>
    <mergeCell ref="Z22:AA22"/>
    <mergeCell ref="AB22:AC22"/>
    <mergeCell ref="AD22:AE22"/>
    <mergeCell ref="AF22:AG22"/>
    <mergeCell ref="AD21:AE21"/>
    <mergeCell ref="AF21:AG21"/>
    <mergeCell ref="H22:I22"/>
    <mergeCell ref="J22:K22"/>
    <mergeCell ref="L22:M22"/>
    <mergeCell ref="N22:O22"/>
    <mergeCell ref="P22:Q22"/>
    <mergeCell ref="R22:S22"/>
    <mergeCell ref="T22:U22"/>
    <mergeCell ref="R21:S21"/>
    <mergeCell ref="T21:U21"/>
    <mergeCell ref="V21:W21"/>
    <mergeCell ref="X21:Y21"/>
    <mergeCell ref="Z21:AA21"/>
    <mergeCell ref="AB21:AC21"/>
    <mergeCell ref="H21:I21"/>
    <mergeCell ref="J21:K21"/>
    <mergeCell ref="L21:M21"/>
    <mergeCell ref="H24:I24"/>
    <mergeCell ref="J24:K24"/>
    <mergeCell ref="L24:M24"/>
    <mergeCell ref="N24:O24"/>
    <mergeCell ref="P24:Q24"/>
    <mergeCell ref="R24:S24"/>
    <mergeCell ref="T24:U24"/>
    <mergeCell ref="R23:S23"/>
    <mergeCell ref="T23:U23"/>
    <mergeCell ref="H23:I23"/>
    <mergeCell ref="J23:K23"/>
    <mergeCell ref="L23:M23"/>
    <mergeCell ref="N23:O23"/>
    <mergeCell ref="P23:Q23"/>
    <mergeCell ref="V24:W24"/>
    <mergeCell ref="X24:Y24"/>
    <mergeCell ref="Z24:AA24"/>
    <mergeCell ref="AB24:AC24"/>
    <mergeCell ref="AD24:AE24"/>
    <mergeCell ref="AF24:AG24"/>
    <mergeCell ref="AD23:AE23"/>
    <mergeCell ref="AF23:AG23"/>
    <mergeCell ref="V23:W23"/>
    <mergeCell ref="X23:Y23"/>
    <mergeCell ref="Z23:AA23"/>
    <mergeCell ref="AB23:AC23"/>
    <mergeCell ref="AF27:AG27"/>
    <mergeCell ref="AD26:AE26"/>
    <mergeCell ref="AF26:AG26"/>
    <mergeCell ref="H27:I27"/>
    <mergeCell ref="J27:K27"/>
    <mergeCell ref="L27:M27"/>
    <mergeCell ref="N27:O27"/>
    <mergeCell ref="P27:Q27"/>
    <mergeCell ref="R27:S27"/>
    <mergeCell ref="T27:U27"/>
    <mergeCell ref="R26:S26"/>
    <mergeCell ref="T26:U26"/>
    <mergeCell ref="V26:W26"/>
    <mergeCell ref="X26:Y26"/>
    <mergeCell ref="Z26:AA26"/>
    <mergeCell ref="AB26:AC26"/>
    <mergeCell ref="H26:I26"/>
    <mergeCell ref="J26:K26"/>
    <mergeCell ref="L26:M26"/>
    <mergeCell ref="N26:O26"/>
    <mergeCell ref="P26:Q26"/>
    <mergeCell ref="V27:W27"/>
    <mergeCell ref="X27:Y27"/>
    <mergeCell ref="Z27:AA27"/>
    <mergeCell ref="B27:C27"/>
    <mergeCell ref="B29:C29"/>
    <mergeCell ref="AB27:AC27"/>
    <mergeCell ref="AD27:AE27"/>
    <mergeCell ref="H30:I30"/>
    <mergeCell ref="J30:K30"/>
    <mergeCell ref="L30:M30"/>
    <mergeCell ref="N30:O30"/>
    <mergeCell ref="P30:Q30"/>
    <mergeCell ref="R30:S30"/>
    <mergeCell ref="T30:U30"/>
    <mergeCell ref="R29:S29"/>
    <mergeCell ref="T29:U29"/>
    <mergeCell ref="H29:I29"/>
    <mergeCell ref="J29:K29"/>
    <mergeCell ref="L29:M29"/>
    <mergeCell ref="N29:O29"/>
    <mergeCell ref="P29:Q29"/>
    <mergeCell ref="B30:C30"/>
    <mergeCell ref="V30:W30"/>
    <mergeCell ref="X30:Y30"/>
    <mergeCell ref="Z30:AA30"/>
    <mergeCell ref="AB30:AC30"/>
    <mergeCell ref="AD30:AE30"/>
    <mergeCell ref="AF30:AG30"/>
    <mergeCell ref="AD29:AE29"/>
    <mergeCell ref="AF29:AG29"/>
    <mergeCell ref="V29:W29"/>
    <mergeCell ref="X29:Y29"/>
    <mergeCell ref="Z29:AA29"/>
    <mergeCell ref="AB29:AC29"/>
    <mergeCell ref="V32:W32"/>
    <mergeCell ref="X32:Y32"/>
    <mergeCell ref="V33:W33"/>
    <mergeCell ref="X33:Y33"/>
    <mergeCell ref="C32:F32"/>
    <mergeCell ref="H32:I32"/>
    <mergeCell ref="J32:K32"/>
    <mergeCell ref="L32:M32"/>
    <mergeCell ref="N32:O32"/>
    <mergeCell ref="P32:Q32"/>
    <mergeCell ref="H33:I33"/>
    <mergeCell ref="T32:U32"/>
    <mergeCell ref="B8:G8"/>
    <mergeCell ref="C15:G15"/>
    <mergeCell ref="B16:G16"/>
    <mergeCell ref="B17:C17"/>
    <mergeCell ref="AF42:AG42"/>
    <mergeCell ref="T42:U42"/>
    <mergeCell ref="V42:W42"/>
    <mergeCell ref="X42:Y42"/>
    <mergeCell ref="Z42:AA42"/>
    <mergeCell ref="AB42:AC42"/>
    <mergeCell ref="AD42:AE42"/>
    <mergeCell ref="AB41:AC41"/>
    <mergeCell ref="AD41:AE41"/>
    <mergeCell ref="AF41:AG41"/>
    <mergeCell ref="C42:G42"/>
    <mergeCell ref="H42:I42"/>
    <mergeCell ref="J42:K42"/>
    <mergeCell ref="L42:M42"/>
    <mergeCell ref="N42:O42"/>
    <mergeCell ref="P42:Q42"/>
    <mergeCell ref="AF40:AG40"/>
    <mergeCell ref="C41:G41"/>
    <mergeCell ref="C38:G38"/>
    <mergeCell ref="H38:I38"/>
    <mergeCell ref="B46:B47"/>
    <mergeCell ref="C46:G47"/>
    <mergeCell ref="V48:Y49"/>
    <mergeCell ref="Z48:AA49"/>
    <mergeCell ref="Z44:AA45"/>
    <mergeCell ref="V46:AG47"/>
    <mergeCell ref="Z34:AG34"/>
    <mergeCell ref="N34:O34"/>
    <mergeCell ref="P34:Q34"/>
    <mergeCell ref="R34:S34"/>
    <mergeCell ref="V38:W38"/>
    <mergeCell ref="X37:Y37"/>
    <mergeCell ref="P37:Q37"/>
    <mergeCell ref="Z39:AA39"/>
    <mergeCell ref="AB39:AC39"/>
    <mergeCell ref="AD39:AE39"/>
    <mergeCell ref="AF39:AG39"/>
    <mergeCell ref="T34:U34"/>
    <mergeCell ref="V34:W34"/>
    <mergeCell ref="X34:Y34"/>
    <mergeCell ref="J40:K40"/>
    <mergeCell ref="L40:M40"/>
    <mergeCell ref="N40:O40"/>
    <mergeCell ref="P40:Q40"/>
    <mergeCell ref="B44:B45"/>
    <mergeCell ref="C44:G45"/>
    <mergeCell ref="H44:I45"/>
    <mergeCell ref="J44:M45"/>
    <mergeCell ref="N44:O45"/>
    <mergeCell ref="P44:S45"/>
    <mergeCell ref="T44:U45"/>
    <mergeCell ref="V44:Y45"/>
    <mergeCell ref="H34:I34"/>
    <mergeCell ref="J34:K34"/>
    <mergeCell ref="L34:M34"/>
    <mergeCell ref="X40:Y40"/>
    <mergeCell ref="H41:I41"/>
    <mergeCell ref="X38:Y38"/>
    <mergeCell ref="R37:S37"/>
    <mergeCell ref="T37:U37"/>
    <mergeCell ref="V37:W37"/>
    <mergeCell ref="R40:S40"/>
    <mergeCell ref="T40:U40"/>
    <mergeCell ref="V40:W40"/>
    <mergeCell ref="J38:K38"/>
    <mergeCell ref="L38:M38"/>
    <mergeCell ref="N38:O38"/>
    <mergeCell ref="H37:I37"/>
    <mergeCell ref="V43:W43"/>
    <mergeCell ref="X43:Y43"/>
    <mergeCell ref="Z43:AA43"/>
    <mergeCell ref="AB43:AC43"/>
    <mergeCell ref="L43:M43"/>
    <mergeCell ref="AF37:AG37"/>
    <mergeCell ref="C34:G34"/>
    <mergeCell ref="C40:F40"/>
    <mergeCell ref="AD40:AE40"/>
    <mergeCell ref="Z40:AA40"/>
    <mergeCell ref="AB40:AC40"/>
    <mergeCell ref="J37:K37"/>
    <mergeCell ref="L37:M37"/>
    <mergeCell ref="N37:O37"/>
    <mergeCell ref="C37:F37"/>
    <mergeCell ref="C39:F39"/>
    <mergeCell ref="AB48:AE49"/>
    <mergeCell ref="AF48:AG49"/>
    <mergeCell ref="Z37:AA37"/>
    <mergeCell ref="AB37:AC37"/>
    <mergeCell ref="AD37:AE37"/>
    <mergeCell ref="Z38:AA38"/>
    <mergeCell ref="AB38:AC38"/>
    <mergeCell ref="AD38:AE38"/>
    <mergeCell ref="AF38:AG38"/>
    <mergeCell ref="AD43:AE43"/>
    <mergeCell ref="AF43:AG43"/>
    <mergeCell ref="AB44:AE45"/>
    <mergeCell ref="AF44:AG45"/>
    <mergeCell ref="N48:U49"/>
    <mergeCell ref="H46:I47"/>
    <mergeCell ref="J46:M47"/>
    <mergeCell ref="N46:O47"/>
    <mergeCell ref="P46:S47"/>
    <mergeCell ref="T46:U47"/>
    <mergeCell ref="C33:F33"/>
    <mergeCell ref="R42:S42"/>
    <mergeCell ref="P41:Q41"/>
    <mergeCell ref="R41:S41"/>
    <mergeCell ref="T41:U41"/>
    <mergeCell ref="P38:Q38"/>
    <mergeCell ref="R38:S38"/>
    <mergeCell ref="T38:U38"/>
    <mergeCell ref="J33:K33"/>
    <mergeCell ref="L33:M33"/>
    <mergeCell ref="N33:O33"/>
    <mergeCell ref="P33:Q33"/>
    <mergeCell ref="R33:S33"/>
    <mergeCell ref="T33:U33"/>
    <mergeCell ref="R43:S43"/>
    <mergeCell ref="T43:U43"/>
    <mergeCell ref="B24:C24"/>
    <mergeCell ref="R32:S32"/>
    <mergeCell ref="AB28:AC28"/>
    <mergeCell ref="AD28:AE28"/>
    <mergeCell ref="AF28:AG28"/>
    <mergeCell ref="B28:C28"/>
    <mergeCell ref="AB19:AC19"/>
    <mergeCell ref="AD19:AE19"/>
    <mergeCell ref="AF19:AG19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B22:C22"/>
    <mergeCell ref="B23:C23"/>
    <mergeCell ref="B26:C26"/>
    <mergeCell ref="Z32:AG33"/>
    <mergeCell ref="B21:C21"/>
    <mergeCell ref="AB11:AC11"/>
    <mergeCell ref="AD11:AE11"/>
    <mergeCell ref="AF11:AG11"/>
    <mergeCell ref="C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C11:G11"/>
    <mergeCell ref="H11:I11"/>
    <mergeCell ref="J11:K11"/>
    <mergeCell ref="L11:M11"/>
    <mergeCell ref="N11:O11"/>
  </mergeCells>
  <conditionalFormatting sqref="B46:AG47">
    <cfRule type="expression" dxfId="8" priority="1">
      <formula>AND($AF$22=0,$N$46=0,$T$46=0)</formula>
    </cfRule>
  </conditionalFormatting>
  <conditionalFormatting sqref="H31:O31">
    <cfRule type="expression" dxfId="7" priority="10">
      <formula>$H$34=0</formula>
    </cfRule>
  </conditionalFormatting>
  <conditionalFormatting sqref="P31:Y31">
    <cfRule type="expression" dxfId="6" priority="9">
      <formula>$N$34=0</formula>
    </cfRule>
  </conditionalFormatting>
  <conditionalFormatting sqref="V46:AG47">
    <cfRule type="expression" dxfId="5" priority="2">
      <formula>ROUND($H$46-$N$46-$T$46,2)&lt;&gt;0</formula>
    </cfRule>
    <cfRule type="expression" dxfId="4" priority="3">
      <formula>ROUND($H$46-$N$46-$T$46,2)=0</formula>
    </cfRule>
  </conditionalFormatting>
  <conditionalFormatting sqref="Z31:AG31">
    <cfRule type="expression" dxfId="3" priority="5">
      <formula>$X$34&lt;0</formula>
    </cfRule>
  </conditionalFormatting>
  <conditionalFormatting sqref="Z31:AG34">
    <cfRule type="expression" dxfId="2" priority="6">
      <formula>B_fldSaldoVJ=0</formula>
    </cfRule>
    <cfRule type="expression" dxfId="1" priority="7">
      <formula>$X$34=0</formula>
    </cfRule>
    <cfRule type="expression" dxfId="0" priority="8">
      <formula>$X$34&lt;&gt;0</formula>
    </cfRule>
  </conditionalFormatting>
  <hyperlinks>
    <hyperlink ref="H6:I6" location="JAN!D20" display="JAN" xr:uid="{3900C361-D022-49ED-AB47-5D9BEC4E8CA0}"/>
    <hyperlink ref="J6:K6" location="FEB!D20" display="FEB" xr:uid="{9A7A2CED-4990-45FE-9756-3D89D512D4D1}"/>
    <hyperlink ref="L6:M6" location="MRZ!D20" display="MRZ" xr:uid="{95C9F1A2-AFD1-47EA-9E77-E45CAB90F15D}"/>
    <hyperlink ref="N6:O6" location="APR!D20" display="APR" xr:uid="{ABFB9481-9759-4C60-A23B-D582ECC82153}"/>
    <hyperlink ref="P6:Q6" location="MAI!D20" display="MAI" xr:uid="{04D443FD-F22F-46EA-9AAE-8508212B940E}"/>
    <hyperlink ref="R6:S6" location="JUN!D20" display="JUN" xr:uid="{94A75E6A-6EBC-4A03-8FA8-4B263E14E248}"/>
    <hyperlink ref="T6:U6" location="JUL!D20" display="JUL" xr:uid="{B021DFAC-6FBD-4B3F-9A31-7C5EDCE92734}"/>
    <hyperlink ref="V6:W6" location="AUG!D20" display="AUG" xr:uid="{0DEAD6DA-7DCB-4916-848C-A1E3166F1419}"/>
    <hyperlink ref="X6:Y6" location="SEP!D20" display="SEP" xr:uid="{CF05BECB-C85F-4B91-B4AD-DC3645534C97}"/>
    <hyperlink ref="Z6:AA6" location="OKT!D20" display="OKT" xr:uid="{5034552F-8C3F-4897-90F4-C50AF6374366}"/>
    <hyperlink ref="AB6:AC6" location="NOV!D20" display="NOV" xr:uid="{B185397F-B9D1-4370-A796-71D38F0FF94D}"/>
    <hyperlink ref="AD6:AE6" location="DEZ!D20" display="DEZ" xr:uid="{C308AE16-39A8-4CEA-A038-E78C15099E7B}"/>
  </hyperlinks>
  <printOptions horizontalCentered="1"/>
  <pageMargins left="0.196850393700787" right="0.196850393700787" top="0.196850393700787" bottom="0.196850393700787" header="0" footer="0.196850393700787"/>
  <pageSetup paperSize="9" scale="7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B0285-45EE-4AE7-B819-D1AEE818A79E}">
  <sheetPr codeName="sys0">
    <tabColor theme="0" tint="-4.9989318521683403E-2"/>
  </sheetPr>
  <dimension ref="B2:AU106"/>
  <sheetViews>
    <sheetView workbookViewId="0">
      <selection activeCell="P4" sqref="P4:Q4"/>
    </sheetView>
  </sheetViews>
  <sheetFormatPr baseColWidth="10" defaultColWidth="3.5703125" defaultRowHeight="12.75" x14ac:dyDescent="0.2"/>
  <cols>
    <col min="2" max="2" width="4" customWidth="1"/>
    <col min="3" max="3" width="13.42578125" customWidth="1"/>
    <col min="4" max="13" width="12.140625" customWidth="1"/>
    <col min="14" max="14" width="13.85546875" customWidth="1"/>
    <col min="15" max="15" width="16.140625" bestFit="1" customWidth="1"/>
    <col min="16" max="16" width="12" customWidth="1"/>
    <col min="17" max="18" width="14.42578125" customWidth="1"/>
    <col min="19" max="19" width="7.7109375" customWidth="1"/>
    <col min="20" max="20" width="8.140625" bestFit="1" customWidth="1"/>
    <col min="21" max="24" width="19.28515625" customWidth="1"/>
    <col min="25" max="26" width="5.140625" customWidth="1"/>
    <col min="27" max="27" width="12.5703125" customWidth="1"/>
    <col min="28" max="34" width="15.85546875" customWidth="1"/>
    <col min="35" max="42" width="12.5703125" customWidth="1"/>
    <col min="43" max="57" width="5.140625" customWidth="1"/>
    <col min="58" max="58" width="4.7109375" customWidth="1"/>
    <col min="59" max="62" width="5.140625" customWidth="1"/>
  </cols>
  <sheetData>
    <row r="2" spans="2:21" s="240" customFormat="1" ht="32.1" customHeight="1" x14ac:dyDescent="0.2">
      <c r="B2" s="240" t="s">
        <v>30</v>
      </c>
    </row>
    <row r="3" spans="2:21" ht="15.6" customHeight="1" x14ac:dyDescent="0.2"/>
    <row r="4" spans="2:21" s="11" customFormat="1" ht="18" customHeight="1" x14ac:dyDescent="0.2">
      <c r="B4" s="726" t="s">
        <v>31</v>
      </c>
      <c r="C4" s="726"/>
      <c r="D4" s="726"/>
      <c r="E4" s="727" t="s">
        <v>751</v>
      </c>
      <c r="F4" s="727"/>
      <c r="G4" s="241"/>
      <c r="H4" s="728" t="s">
        <v>1</v>
      </c>
      <c r="I4" s="728"/>
      <c r="J4" s="729">
        <f>A_Jahr</f>
        <v>2026</v>
      </c>
      <c r="K4" s="729"/>
      <c r="N4" s="730" t="s">
        <v>32</v>
      </c>
      <c r="O4" s="730"/>
      <c r="P4" s="731" t="s">
        <v>33</v>
      </c>
      <c r="Q4" s="731"/>
    </row>
    <row r="5" spans="2:21" s="11" customFormat="1" x14ac:dyDescent="0.2">
      <c r="N5" s="735" t="s">
        <v>592</v>
      </c>
      <c r="O5" s="736"/>
      <c r="P5" s="737" t="s">
        <v>593</v>
      </c>
      <c r="Q5" s="738"/>
    </row>
    <row r="6" spans="2:21" s="11" customFormat="1" ht="11.45" customHeight="1" x14ac:dyDescent="0.2">
      <c r="B6" s="46" t="s">
        <v>34</v>
      </c>
      <c r="H6" s="46" t="s">
        <v>35</v>
      </c>
      <c r="N6" s="736" t="s">
        <v>770</v>
      </c>
      <c r="O6" s="736"/>
      <c r="P6" s="567">
        <v>27557</v>
      </c>
    </row>
    <row r="7" spans="2:21" s="11" customFormat="1" ht="11.45" customHeight="1" x14ac:dyDescent="0.2">
      <c r="B7" s="46"/>
    </row>
    <row r="8" spans="2:21" s="11" customFormat="1" ht="11.45" customHeight="1" x14ac:dyDescent="0.2"/>
    <row r="9" spans="2:21" s="11" customFormat="1" ht="18" customHeight="1" x14ac:dyDescent="0.2">
      <c r="B9" s="732" t="s">
        <v>36</v>
      </c>
      <c r="C9" s="732"/>
      <c r="D9" s="732"/>
      <c r="E9" s="732"/>
      <c r="F9" s="733" t="str">
        <f>'fiche du personnel'!G6</f>
        <v>Martin Dupont</v>
      </c>
      <c r="G9" s="733"/>
      <c r="H9" s="733"/>
      <c r="I9" s="733"/>
      <c r="J9" s="733"/>
      <c r="K9" s="733"/>
      <c r="L9" s="733"/>
      <c r="M9" s="733"/>
      <c r="N9" s="733"/>
      <c r="O9" s="733"/>
    </row>
    <row r="10" spans="2:21" s="11" customFormat="1" ht="18" customHeight="1" x14ac:dyDescent="0.2">
      <c r="B10" s="732" t="s">
        <v>37</v>
      </c>
      <c r="C10" s="732"/>
      <c r="D10" s="732"/>
      <c r="E10" s="732"/>
      <c r="F10" s="740" t="str" cm="1">
        <f t="array" aca="1" ref="F10" ca="1">IF(OR(D_Debug="ja",D_Debug="BDay"),P6,IF(CELL("format",'fiche du personnel'!Q9)="D1",'fiche du personnel'!Q9,DATE(YEAR(TODAY())-30,MONTH(TODAY()),DAY(TODAY()))))</f>
        <v>date de naissance</v>
      </c>
      <c r="G10" s="740"/>
      <c r="H10" s="740"/>
      <c r="I10" s="740"/>
      <c r="J10" s="740"/>
      <c r="K10" s="739" t="s">
        <v>38</v>
      </c>
      <c r="L10" s="739"/>
      <c r="M10" s="734">
        <f ca="1">IFERROR(YEAR(F10),0)</f>
        <v>0</v>
      </c>
      <c r="N10" s="734"/>
      <c r="O10" s="734"/>
    </row>
    <row r="11" spans="2:21" s="11" customFormat="1" ht="18" customHeight="1" x14ac:dyDescent="0.2">
      <c r="B11" s="732" t="s">
        <v>39</v>
      </c>
      <c r="C11" s="732"/>
      <c r="D11" s="732"/>
      <c r="E11" s="732"/>
      <c r="F11" s="733" t="str">
        <f>'fiche du personnel'!Q6&amp;", "&amp;'fiche du personnel'!Q7</f>
        <v>rue, N°, CP, lieu</v>
      </c>
      <c r="G11" s="733"/>
      <c r="H11" s="733"/>
      <c r="I11" s="733"/>
      <c r="J11" s="733"/>
      <c r="K11" s="733"/>
      <c r="L11" s="733"/>
      <c r="M11" s="733"/>
      <c r="N11" s="733"/>
      <c r="O11" s="733"/>
    </row>
    <row r="12" spans="2:21" s="11" customFormat="1" ht="18" customHeight="1" x14ac:dyDescent="0.2"/>
    <row r="13" spans="2:21" s="11" customFormat="1" ht="18" customHeight="1" x14ac:dyDescent="0.2">
      <c r="P13" s="46"/>
    </row>
    <row r="14" spans="2:21" ht="15.75" x14ac:dyDescent="0.2">
      <c r="B14" s="655" t="s">
        <v>40</v>
      </c>
      <c r="C14" s="655"/>
      <c r="D14" s="655"/>
      <c r="E14" s="655"/>
      <c r="F14" s="655"/>
      <c r="G14" s="655"/>
      <c r="H14" s="655"/>
      <c r="I14" s="655"/>
      <c r="J14" s="655"/>
      <c r="K14" s="655"/>
      <c r="L14" s="655"/>
      <c r="M14" s="655"/>
      <c r="N14" s="655"/>
      <c r="O14" s="655"/>
      <c r="P14" s="655"/>
      <c r="Q14" s="655"/>
      <c r="R14" s="655"/>
      <c r="S14" s="655"/>
      <c r="T14" s="655"/>
      <c r="U14" s="655"/>
    </row>
    <row r="15" spans="2:21" x14ac:dyDescent="0.2">
      <c r="B15" s="103" t="s">
        <v>41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</row>
    <row r="16" spans="2:21" x14ac:dyDescent="0.2">
      <c r="B16" s="103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</row>
    <row r="17" spans="2:21" x14ac:dyDescent="0.2">
      <c r="B17" s="103"/>
      <c r="C17" s="571" t="s">
        <v>800</v>
      </c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</row>
    <row r="18" spans="2:21" x14ac:dyDescent="0.2">
      <c r="B18" s="103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</row>
    <row r="19" spans="2:21" s="185" customFormat="1" ht="14.45" customHeight="1" x14ac:dyDescent="0.2">
      <c r="B19" s="356"/>
      <c r="C19" s="569" t="s">
        <v>778</v>
      </c>
      <c r="D19" s="357"/>
      <c r="E19" s="357"/>
      <c r="F19" s="357"/>
      <c r="G19" s="357"/>
      <c r="H19" s="357"/>
      <c r="I19" s="357"/>
      <c r="J19" s="357"/>
      <c r="K19" s="357"/>
      <c r="L19" s="357"/>
      <c r="M19" s="357"/>
      <c r="N19" s="357"/>
      <c r="O19" s="357"/>
      <c r="P19" s="357"/>
      <c r="Q19" s="357"/>
      <c r="R19" s="357"/>
      <c r="S19" s="357"/>
      <c r="T19" s="357"/>
      <c r="U19" s="357"/>
    </row>
    <row r="20" spans="2:21" x14ac:dyDescent="0.2">
      <c r="B20" s="103"/>
      <c r="C20" s="96" t="s">
        <v>776</v>
      </c>
      <c r="D20" s="96"/>
      <c r="E20" s="96"/>
      <c r="F20" s="96">
        <f>A_fldJahrBruttoStd/12</f>
        <v>174</v>
      </c>
      <c r="G20" s="96"/>
      <c r="H20" s="568" t="s">
        <v>777</v>
      </c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</row>
    <row r="23" spans="2:21" s="185" customFormat="1" ht="15.95" customHeight="1" x14ac:dyDescent="0.2">
      <c r="C23" s="570" t="s">
        <v>779</v>
      </c>
      <c r="D23" s="313"/>
      <c r="E23" s="313"/>
    </row>
    <row r="24" spans="2:21" ht="12.95" customHeight="1" x14ac:dyDescent="0.2">
      <c r="C24" s="12" t="s">
        <v>780</v>
      </c>
      <c r="F24">
        <v>261</v>
      </c>
    </row>
    <row r="25" spans="2:21" x14ac:dyDescent="0.2">
      <c r="C25" s="12" t="s">
        <v>798</v>
      </c>
      <c r="F25">
        <f>F24/12</f>
        <v>21.75</v>
      </c>
    </row>
    <row r="26" spans="2:21" ht="12.95" customHeight="1" x14ac:dyDescent="0.2">
      <c r="C26" s="12" t="s">
        <v>781</v>
      </c>
      <c r="F26">
        <f>F24*F28</f>
        <v>2088</v>
      </c>
    </row>
    <row r="27" spans="2:21" x14ac:dyDescent="0.2">
      <c r="B27" s="103"/>
      <c r="C27" s="96" t="s">
        <v>774</v>
      </c>
      <c r="D27" s="96"/>
      <c r="E27" s="96"/>
      <c r="F27" s="96">
        <v>174</v>
      </c>
      <c r="G27" s="96"/>
      <c r="H27" s="568" t="s">
        <v>772</v>
      </c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</row>
    <row r="28" spans="2:21" x14ac:dyDescent="0.2">
      <c r="B28" s="103"/>
      <c r="C28" s="96" t="s">
        <v>775</v>
      </c>
      <c r="D28" s="96"/>
      <c r="E28" s="96"/>
      <c r="F28" s="96">
        <f>A_fldSollTagStd</f>
        <v>8</v>
      </c>
      <c r="G28" s="96"/>
      <c r="H28" s="568" t="s">
        <v>773</v>
      </c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</row>
    <row r="29" spans="2:21" x14ac:dyDescent="0.2">
      <c r="B29" s="103"/>
      <c r="C29" s="96"/>
      <c r="D29" s="96"/>
      <c r="E29" s="96"/>
      <c r="F29" s="96"/>
      <c r="G29" s="96"/>
      <c r="H29" s="568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</row>
    <row r="31" spans="2:21" x14ac:dyDescent="0.2">
      <c r="B31" s="103"/>
      <c r="C31" s="571" t="s">
        <v>771</v>
      </c>
      <c r="I31" s="96"/>
      <c r="J31" s="96"/>
      <c r="K31" s="96"/>
      <c r="L31" s="96"/>
      <c r="M31" s="96"/>
      <c r="N31" s="96"/>
      <c r="O31" s="12"/>
      <c r="P31" s="96"/>
      <c r="Q31" s="96"/>
      <c r="R31" s="96"/>
      <c r="S31" s="96"/>
      <c r="T31" s="96"/>
      <c r="U31" s="96"/>
    </row>
    <row r="32" spans="2:21" s="185" customFormat="1" ht="17.45" customHeight="1" x14ac:dyDescent="0.2">
      <c r="B32" s="356"/>
      <c r="I32" s="357"/>
      <c r="J32" s="366" t="s">
        <v>42</v>
      </c>
      <c r="K32" s="366" t="s">
        <v>43</v>
      </c>
      <c r="L32" s="366" t="s">
        <v>44</v>
      </c>
      <c r="M32" s="366" t="s">
        <v>45</v>
      </c>
      <c r="N32" s="357"/>
      <c r="O32" s="12"/>
      <c r="P32" s="357"/>
      <c r="Q32" s="357"/>
    </row>
    <row r="33" spans="2:17" s="360" customFormat="1" ht="27.6" customHeight="1" x14ac:dyDescent="0.2">
      <c r="B33" s="358"/>
      <c r="C33" s="359" t="s">
        <v>46</v>
      </c>
      <c r="D33" s="359" t="s">
        <v>47</v>
      </c>
      <c r="E33" s="359" t="s">
        <v>48</v>
      </c>
      <c r="F33" s="359" t="s">
        <v>49</v>
      </c>
      <c r="G33" s="359" t="s">
        <v>50</v>
      </c>
      <c r="H33" s="359" t="s">
        <v>51</v>
      </c>
      <c r="I33" s="350"/>
      <c r="J33" s="363">
        <f>DATE(A_Jahr,1,1)</f>
        <v>46023</v>
      </c>
      <c r="K33" s="364" t="e" cm="1">
        <f t="array" aca="1" ref="K33" ca="1">IF(YEAR($F$10)&lt;=1900,fehler,DATEDIF($F$10,J33,"y"))</f>
        <v>#VALUE!</v>
      </c>
      <c r="L33" s="369" t="e" cm="1">
        <f t="array" aca="1" ref="L33" ca="1">SUMPRODUCT((D34:D37&lt;=K33)*(E34:E37&gt;=K33)*F34:F37)</f>
        <v>#VALUE!</v>
      </c>
      <c r="M33" s="370" t="e">
        <f ca="1">L33/12*K36</f>
        <v>#VALUE!</v>
      </c>
      <c r="N33" s="350"/>
      <c r="O33" s="12"/>
      <c r="P33" s="350"/>
      <c r="Q33" s="350"/>
    </row>
    <row r="34" spans="2:17" s="38" customFormat="1" ht="27.6" customHeight="1" x14ac:dyDescent="0.2">
      <c r="B34" s="361"/>
      <c r="C34" s="271" t="s">
        <v>52</v>
      </c>
      <c r="D34" s="271">
        <v>0</v>
      </c>
      <c r="E34" s="271">
        <v>20</v>
      </c>
      <c r="F34" s="271">
        <v>27</v>
      </c>
      <c r="G34" s="362">
        <f>F34/12</f>
        <v>2.25</v>
      </c>
      <c r="H34" s="362">
        <f>F34*A_fldSollTagStd</f>
        <v>216</v>
      </c>
      <c r="I34" s="98"/>
      <c r="J34" s="363">
        <f>DATE(A_Jahr,12,31)</f>
        <v>46387</v>
      </c>
      <c r="K34" s="364" t="e" cm="1">
        <f t="array" aca="1" ref="K34" ca="1">IF(YEAR($F$10)&lt;=1900,fehler,DATEDIF($F$10,J34,"y"))</f>
        <v>#VALUE!</v>
      </c>
      <c r="L34" s="38" t="e" cm="1">
        <f t="array" aca="1" ref="L34" ca="1">SUMPRODUCT((D34:D37&lt;=K34)*(E34:E37&gt;=K34)*F34:F37)</f>
        <v>#VALUE!</v>
      </c>
      <c r="M34" s="98" t="e">
        <f ca="1">L34/12*(12-K36)</f>
        <v>#VALUE!</v>
      </c>
      <c r="N34" s="98"/>
      <c r="O34" s="12"/>
      <c r="P34" s="98"/>
      <c r="Q34" s="98"/>
    </row>
    <row r="35" spans="2:17" s="38" customFormat="1" ht="27.6" customHeight="1" x14ac:dyDescent="0.2">
      <c r="B35" s="361"/>
      <c r="C35" s="271" t="s">
        <v>53</v>
      </c>
      <c r="D35" s="271">
        <v>21</v>
      </c>
      <c r="E35" s="271">
        <v>49</v>
      </c>
      <c r="F35" s="271">
        <v>22</v>
      </c>
      <c r="G35" s="362">
        <f>F35/12</f>
        <v>1.8333333333333333</v>
      </c>
      <c r="H35" s="362">
        <f>F35*A_fldSollTagStd</f>
        <v>176</v>
      </c>
      <c r="I35" s="98"/>
      <c r="M35" s="98" t="e">
        <f ca="1">SUM(M33:M34)</f>
        <v>#VALUE!</v>
      </c>
      <c r="O35" s="361" t="s">
        <v>54</v>
      </c>
      <c r="P35" s="371" t="e">
        <f ca="1">M35*A_fldSollTagStd*D74%</f>
        <v>#VALUE!</v>
      </c>
      <c r="Q35" s="98"/>
    </row>
    <row r="36" spans="2:17" s="38" customFormat="1" ht="27.6" customHeight="1" x14ac:dyDescent="0.2">
      <c r="B36" s="361"/>
      <c r="C36" s="271" t="s">
        <v>505</v>
      </c>
      <c r="D36" s="271">
        <v>50</v>
      </c>
      <c r="E36" s="271">
        <v>59</v>
      </c>
      <c r="F36" s="271">
        <v>27</v>
      </c>
      <c r="G36" s="362">
        <f>F36/12</f>
        <v>2.25</v>
      </c>
      <c r="H36" s="362">
        <f>F36*A_fldSollTagStd</f>
        <v>216</v>
      </c>
      <c r="I36" s="98"/>
      <c r="J36" s="365" t="s">
        <v>55</v>
      </c>
      <c r="K36" s="364">
        <f ca="1">IFERROR(MONTH(F10)-1,MONTH("28.10.1982")-1)</f>
        <v>9</v>
      </c>
      <c r="M36" s="98"/>
      <c r="N36" s="98"/>
      <c r="Q36" s="98"/>
    </row>
    <row r="37" spans="2:17" s="38" customFormat="1" ht="27.6" customHeight="1" x14ac:dyDescent="0.2">
      <c r="B37" s="361"/>
      <c r="C37" s="271" t="s">
        <v>506</v>
      </c>
      <c r="D37" s="271">
        <v>60</v>
      </c>
      <c r="E37" s="271">
        <v>150</v>
      </c>
      <c r="F37" s="271">
        <v>27</v>
      </c>
      <c r="G37" s="362">
        <f>F37/12</f>
        <v>2.25</v>
      </c>
      <c r="H37" s="362">
        <f>F37*A_fldSollTagStd</f>
        <v>216</v>
      </c>
      <c r="I37" s="98"/>
      <c r="M37" s="98"/>
      <c r="P37" s="98"/>
      <c r="Q37" s="98"/>
    </row>
    <row r="38" spans="2:17" x14ac:dyDescent="0.2">
      <c r="B38" s="103"/>
      <c r="I38" s="96"/>
    </row>
    <row r="39" spans="2:17" s="194" customFormat="1" ht="15" customHeight="1" x14ac:dyDescent="0.2">
      <c r="B39" s="366"/>
      <c r="I39" s="366"/>
    </row>
    <row r="43" spans="2:17" x14ac:dyDescent="0.2">
      <c r="B43" s="103"/>
      <c r="C43" s="366" t="s">
        <v>763</v>
      </c>
      <c r="D43" s="366"/>
      <c r="E43" s="366" t="s">
        <v>764</v>
      </c>
      <c r="F43" s="366"/>
      <c r="I43" s="366"/>
      <c r="J43" s="366"/>
      <c r="K43" s="194"/>
      <c r="L43" s="96"/>
      <c r="M43" s="96"/>
      <c r="N43" s="96"/>
      <c r="O43" s="12"/>
      <c r="P43" s="96"/>
      <c r="Q43" s="96"/>
    </row>
    <row r="44" spans="2:17" x14ac:dyDescent="0.2">
      <c r="B44" s="103"/>
      <c r="I44" s="96"/>
      <c r="J44" s="96"/>
      <c r="L44" s="96"/>
      <c r="M44" s="96"/>
      <c r="N44" s="96"/>
      <c r="O44" s="12"/>
      <c r="P44" s="96"/>
      <c r="Q44" s="96"/>
    </row>
    <row r="45" spans="2:17" x14ac:dyDescent="0.2">
      <c r="B45" s="103"/>
      <c r="C45" s="103" t="s">
        <v>782</v>
      </c>
      <c r="D45" s="564">
        <f>IFERROR(IF(OR(B_fldEintritt="",YEAR(B_fldEintritt)&lt;A_Jahr),DATE(A_Jahr,1,1),B_fldEintritt),DATE(A_Jahr,1,1))</f>
        <v>46023</v>
      </c>
      <c r="E45" s="96"/>
      <c r="F45" s="12" t="s">
        <v>784</v>
      </c>
      <c r="H45" s="572">
        <f>IF(MONTH(D45)&lt;&gt;MONTH(D46),IF(DAY(D45)=1,MONTH(D45),MONTH(D45)+1),0)</f>
        <v>1</v>
      </c>
      <c r="I45" s="96"/>
      <c r="J45" s="103" t="s">
        <v>791</v>
      </c>
      <c r="L45" s="573">
        <f>IF((H45+H46)&gt;0,H46-H45+1,0)</f>
        <v>12</v>
      </c>
      <c r="M45" s="96"/>
      <c r="Q45" s="96"/>
    </row>
    <row r="46" spans="2:17" x14ac:dyDescent="0.2">
      <c r="B46" s="103"/>
      <c r="C46" s="12" t="s">
        <v>768</v>
      </c>
      <c r="D46" s="564">
        <f>IF(B_fldStichtag="",DATE(A_Jahr,12,31),IFERROR(B_fldStichtag,DATE(A_Jahr,12,31)))</f>
        <v>46387</v>
      </c>
      <c r="F46" s="12" t="s">
        <v>785</v>
      </c>
      <c r="H46" s="572">
        <f>IF(MONTH(D45)&lt;&gt;MONTH(D46),IF(DAY(D46+1)=1,MONTH(D46),MONTH(D46)-1),0)</f>
        <v>12</v>
      </c>
      <c r="I46" s="96"/>
      <c r="M46" s="96"/>
      <c r="Q46" s="96"/>
    </row>
    <row r="47" spans="2:17" x14ac:dyDescent="0.2">
      <c r="B47" s="103"/>
      <c r="I47" s="96"/>
      <c r="J47" s="96"/>
      <c r="K47" s="96"/>
      <c r="L47" s="96"/>
      <c r="M47" s="96"/>
      <c r="N47" s="96"/>
      <c r="O47" s="12"/>
      <c r="P47" s="96"/>
      <c r="Q47" s="96"/>
    </row>
    <row r="48" spans="2:17" x14ac:dyDescent="0.2">
      <c r="B48" s="103"/>
      <c r="C48" s="103" t="s">
        <v>783</v>
      </c>
      <c r="D48" s="574">
        <f>DATEDIF(D45,D46,"d")+1</f>
        <v>365</v>
      </c>
      <c r="F48" s="103" t="s">
        <v>786</v>
      </c>
      <c r="H48" s="572">
        <f>IF(AND(MONTH(D45)&lt;&gt;H45,H45&lt;&gt;0),(32-DAY(D45-DAY(D45)+32))-DAY(D45)+1,IF(MONTH(D45)=MONTH(D46),DAY(D46)-DAY(D45)+1,0))</f>
        <v>0</v>
      </c>
      <c r="I48" s="96"/>
      <c r="J48" s="103" t="s">
        <v>788</v>
      </c>
      <c r="L48" s="572">
        <f>IF(AND(MONTH(D45)&lt;&gt;H45,H45&lt;&gt;0),NETWORKDAYS(D45,DATE(A_Jahr,MONTH(D45)+1,1)-1),IF(MONTH(D45)=MONTH(D46),NETWORKDAYS(D45,D46),0))</f>
        <v>0</v>
      </c>
      <c r="M48" s="96"/>
      <c r="N48" s="96"/>
      <c r="O48" s="12"/>
      <c r="P48" s="96"/>
      <c r="Q48" s="96"/>
    </row>
    <row r="49" spans="2:25" x14ac:dyDescent="0.2">
      <c r="B49" s="103"/>
      <c r="C49" s="12" t="s">
        <v>790</v>
      </c>
      <c r="D49" s="574">
        <f>NETWORKDAYS(D45,D46)</f>
        <v>261</v>
      </c>
      <c r="F49" s="103" t="s">
        <v>787</v>
      </c>
      <c r="H49" s="572">
        <f>IF(MONTH(D46)&lt;&gt;H46,IF(MONTH(D45)=MONTH(D46),DAY(D46)-DAY(D45)+1,DAY(D46)),0)</f>
        <v>0</v>
      </c>
      <c r="I49" s="96"/>
      <c r="J49" s="103" t="s">
        <v>789</v>
      </c>
      <c r="L49" s="572">
        <f>IF(MONTH(D46)&lt;&gt;H46,IF(MONTH(D45)=MONTH(D46),NETWORKDAYS(D45,D46),NETWORKDAYS(DATE(A_Jahr,MONTH(D46),1),D46)),0)</f>
        <v>0</v>
      </c>
      <c r="M49" s="96"/>
      <c r="N49" s="96"/>
      <c r="O49" s="12"/>
      <c r="P49" s="96"/>
      <c r="Q49" s="96"/>
    </row>
    <row r="50" spans="2:25" x14ac:dyDescent="0.2">
      <c r="B50" s="103"/>
      <c r="I50" s="96"/>
      <c r="M50" s="96"/>
      <c r="N50" s="96"/>
      <c r="O50" s="12"/>
      <c r="P50" s="96"/>
      <c r="Q50" s="96"/>
    </row>
    <row r="51" spans="2:25" x14ac:dyDescent="0.2">
      <c r="B51" s="103"/>
      <c r="I51" s="96"/>
      <c r="J51" s="103"/>
      <c r="K51" s="96"/>
      <c r="L51" s="238"/>
      <c r="M51" s="96"/>
      <c r="N51" s="96"/>
      <c r="O51" s="12"/>
      <c r="P51" s="96"/>
      <c r="Q51" s="96"/>
    </row>
    <row r="52" spans="2:25" x14ac:dyDescent="0.2">
      <c r="B52" s="103"/>
      <c r="C52" s="366" t="s">
        <v>767</v>
      </c>
      <c r="D52" s="194"/>
      <c r="I52" s="96"/>
      <c r="J52" s="103"/>
      <c r="K52" s="96"/>
      <c r="L52" s="238"/>
      <c r="M52" s="96"/>
      <c r="N52" s="96"/>
      <c r="O52" s="12"/>
      <c r="P52" s="96"/>
      <c r="Q52" s="96"/>
    </row>
    <row r="53" spans="2:25" x14ac:dyDescent="0.2">
      <c r="B53" s="103"/>
      <c r="I53" s="96"/>
      <c r="J53" s="103"/>
      <c r="K53" s="96"/>
      <c r="L53" s="238"/>
      <c r="M53" s="96"/>
      <c r="N53" s="96"/>
      <c r="O53" s="12"/>
      <c r="P53" s="96"/>
      <c r="Q53" s="96"/>
    </row>
    <row r="54" spans="2:25" x14ac:dyDescent="0.2">
      <c r="B54" s="103"/>
      <c r="C54" s="103" t="s">
        <v>312</v>
      </c>
      <c r="D54" s="12"/>
      <c r="I54" s="96"/>
      <c r="J54" s="103"/>
      <c r="K54" s="96"/>
      <c r="L54" s="238"/>
      <c r="M54" s="96"/>
      <c r="N54" s="96"/>
      <c r="O54" s="12"/>
      <c r="P54" s="96"/>
      <c r="Q54" s="96"/>
    </row>
    <row r="55" spans="2:25" x14ac:dyDescent="0.2">
      <c r="B55" s="103"/>
      <c r="C55" s="448" t="s">
        <v>762</v>
      </c>
      <c r="D55" s="565" t="e">
        <f ca="1">H_fldFerienCalc/(DATEDIF(DATE(A_Jahr,1,1),DATE(A_Jahr,12,31),"d")+1)*D48</f>
        <v>#VALUE!</v>
      </c>
      <c r="I55" s="96"/>
      <c r="J55" s="96"/>
      <c r="M55" s="96"/>
      <c r="N55" s="96"/>
      <c r="O55" s="12"/>
      <c r="P55" s="96"/>
      <c r="Q55" s="96"/>
      <c r="V55" s="38"/>
    </row>
    <row r="56" spans="2:25" x14ac:dyDescent="0.2">
      <c r="V56" s="38"/>
    </row>
    <row r="58" spans="2:25" ht="15.75" x14ac:dyDescent="0.2">
      <c r="B58" s="655" t="s">
        <v>56</v>
      </c>
      <c r="C58" s="655"/>
      <c r="D58" s="655"/>
      <c r="E58" s="655"/>
      <c r="F58" s="655"/>
      <c r="G58" s="655"/>
      <c r="H58" s="655"/>
      <c r="I58" s="655"/>
      <c r="J58" s="655"/>
      <c r="K58" s="655"/>
      <c r="L58" s="655"/>
      <c r="M58" s="655"/>
      <c r="N58" s="655"/>
      <c r="O58" s="655"/>
      <c r="P58" s="655"/>
      <c r="Q58" s="655"/>
      <c r="R58" s="655"/>
      <c r="S58" s="655"/>
      <c r="T58" s="655"/>
      <c r="U58" s="655"/>
    </row>
    <row r="59" spans="2:25" x14ac:dyDescent="0.2">
      <c r="B59" s="103" t="s">
        <v>57</v>
      </c>
      <c r="C59" s="96"/>
      <c r="D59" s="96"/>
      <c r="E59" s="96"/>
      <c r="F59" s="96"/>
      <c r="G59" s="96"/>
      <c r="I59" s="498"/>
      <c r="J59" s="498"/>
      <c r="K59" s="499"/>
      <c r="M59" s="498"/>
      <c r="N59" s="498"/>
      <c r="O59" s="96"/>
      <c r="P59" s="96"/>
      <c r="Q59" s="96"/>
      <c r="R59" s="96"/>
      <c r="T59" s="96"/>
      <c r="U59" s="96"/>
      <c r="V59" s="96"/>
      <c r="W59" s="589"/>
    </row>
    <row r="60" spans="2:25" ht="16.5" customHeight="1" x14ac:dyDescent="0.2"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569" t="s">
        <v>793</v>
      </c>
      <c r="P60" s="96"/>
      <c r="Q60" s="96"/>
      <c r="R60" s="96"/>
      <c r="T60" s="96"/>
      <c r="U60" s="96"/>
      <c r="V60" s="96"/>
    </row>
    <row r="61" spans="2:25" x14ac:dyDescent="0.2">
      <c r="B61" s="118"/>
      <c r="C61" s="121"/>
      <c r="D61" s="346" t="s">
        <v>58</v>
      </c>
      <c r="E61" s="347" t="s">
        <v>59</v>
      </c>
      <c r="F61" s="347" t="s">
        <v>60</v>
      </c>
      <c r="G61" s="347" t="s">
        <v>61</v>
      </c>
      <c r="H61" s="347" t="s">
        <v>62</v>
      </c>
      <c r="I61" s="347" t="s">
        <v>63</v>
      </c>
      <c r="J61" s="348" t="s">
        <v>64</v>
      </c>
      <c r="K61" s="348" t="s">
        <v>65</v>
      </c>
      <c r="L61" s="497" t="s">
        <v>536</v>
      </c>
      <c r="M61" s="497" t="s">
        <v>537</v>
      </c>
      <c r="N61" s="348" t="s">
        <v>67</v>
      </c>
      <c r="O61" s="73" t="s">
        <v>795</v>
      </c>
      <c r="P61" s="73" t="s">
        <v>794</v>
      </c>
      <c r="Q61" s="73" t="s">
        <v>792</v>
      </c>
      <c r="R61" s="73" t="s">
        <v>768</v>
      </c>
      <c r="S61" s="73" t="s">
        <v>826</v>
      </c>
      <c r="T61" s="73" t="s">
        <v>827</v>
      </c>
      <c r="U61" s="73" t="s">
        <v>799</v>
      </c>
      <c r="V61" s="73" t="s">
        <v>796</v>
      </c>
      <c r="W61" s="73" t="s">
        <v>797</v>
      </c>
      <c r="X61" s="591"/>
      <c r="Y61" s="38"/>
    </row>
    <row r="62" spans="2:25" x14ac:dyDescent="0.2">
      <c r="B62" s="120">
        <v>1</v>
      </c>
      <c r="C62" s="73" t="s">
        <v>68</v>
      </c>
      <c r="D62" s="343">
        <f t="shared" ref="D62:D73" si="0">SUM(E62:I62)/5</f>
        <v>100</v>
      </c>
      <c r="E62" s="503">
        <f>'fiche du personnel'!E43</f>
        <v>100</v>
      </c>
      <c r="F62" s="503">
        <f>IF(B_fldTageGleich=H_Label!$B$117,$E62,'fiche du personnel'!G43)</f>
        <v>100</v>
      </c>
      <c r="G62" s="503">
        <f>IF(B_fldTageGleich=H_Label!$B$117,$E62,'fiche du personnel'!I43)</f>
        <v>100</v>
      </c>
      <c r="H62" s="503">
        <f>IF(B_fldTageGleich=H_Label!$B$117,$E62,'fiche du personnel'!K43)</f>
        <v>100</v>
      </c>
      <c r="I62" s="503">
        <f>IF(B_fldTageGleich=H_Label!$B$117,$E62,'fiche du personnel'!M43)</f>
        <v>100</v>
      </c>
      <c r="J62" s="343">
        <f t="shared" ref="J62:J73" si="1">SUM(E62:I62)/100</f>
        <v>5</v>
      </c>
      <c r="K62" s="343">
        <f>D62%*Admin_Konfig!$G$22</f>
        <v>8</v>
      </c>
      <c r="L62" s="505">
        <f>H_MNT!$J$50</f>
        <v>1</v>
      </c>
      <c r="M62" s="505">
        <f>H_MNT!$J$48</f>
        <v>1</v>
      </c>
      <c r="N62" s="345" t="str">
        <f>IF(M62&gt;=Admin_Konfig!$G$12,"h","t")</f>
        <v>h</v>
      </c>
      <c r="O62" s="576" t="e" cm="1">
        <f t="array" aca="1" ref="O62" ca="1">IF(YEAR($F$10)&lt;=1900,fehler,DATEDIF($F$10,DATE(A_Jahr,B62+1,1)-1,"y"))</f>
        <v>#VALUE!</v>
      </c>
      <c r="P62" s="576" t="e" cm="1">
        <f t="array" aca="1" ref="P62" ca="1">SUMPRODUCT(($D$34:$D$37&lt;=O62)*($E$34:$E$37&gt;=O62)*$F$34:$F$37)</f>
        <v>#VALUE!</v>
      </c>
      <c r="Q62" s="577" t="str">
        <f>IF($D$45&lt;&gt;DATE(A_Jahr,1,1),IF(MONTH($D$45)=B62,$D$45,""),"")</f>
        <v/>
      </c>
      <c r="R62" s="577" t="str">
        <f t="shared" ref="R62:R72" si="2">IF(MONTH($D$46)=B62,$D$46,"")</f>
        <v/>
      </c>
      <c r="S62" s="588">
        <f>IF(AND(B62&gt;=MONTH($D$45),B62&lt;=MONTH($D$46)),1,0)</f>
        <v>1</v>
      </c>
      <c r="T62" s="588" t="str">
        <f t="shared" ref="T62:T73" si="3">IF(OR(AND(B62=MONTH($D$45),$D$45&lt;&gt;DATE(A_Jahr,B62,1)),AND(B62=MONTH($D$46),$D$46&lt;&gt;(DATE(A_Jahr,B62+1,1)-1))),"Tage","Monat")</f>
        <v>Monat</v>
      </c>
      <c r="U62" s="588">
        <f t="shared" ref="U62:U73" si="4">IF(T62="Monat",0,NETWORKDAYS(IF(Q62&lt;&gt;"",Q62,DATE(A_Jahr,B62,1)),IF(R62&lt;&gt;"",R62,DATE(A_Jahr,B62+1,1)-1),0))</f>
        <v>0</v>
      </c>
      <c r="V62" s="580" t="e">
        <f t="shared" ref="V62:V73" ca="1" si="5">(IF(AND(S62,U62),S62*(P62/$F$24)*U62,S62*(P62/12)))*A_fldSollTagStd</f>
        <v>#VALUE!</v>
      </c>
      <c r="W62" s="578" t="e">
        <f t="shared" ref="W62:W73" ca="1" si="6">V62*M62</f>
        <v>#VALUE!</v>
      </c>
      <c r="X62" s="38"/>
      <c r="Y62" s="38"/>
    </row>
    <row r="63" spans="2:25" x14ac:dyDescent="0.2">
      <c r="B63" s="120">
        <v>2</v>
      </c>
      <c r="C63" s="73" t="s">
        <v>69</v>
      </c>
      <c r="D63" s="343">
        <f t="shared" si="0"/>
        <v>100</v>
      </c>
      <c r="E63" s="503">
        <f>IF(B_fldMntGleich=H_Label!$B$117,E$62,'fiche du personnel'!E44)</f>
        <v>100</v>
      </c>
      <c r="F63" s="503">
        <f>IF(B_fldMntGleich=H_Label!$B$117,F$62,IF(B_fldTageGleich=H_Label!$B$117,$E63,'fiche du personnel'!G44))</f>
        <v>100</v>
      </c>
      <c r="G63" s="503">
        <f>IF(B_fldMntGleich=H_Label!$B$117,G$62,IF(B_fldTageGleich=H_Label!$B$117,$E63,'fiche du personnel'!I44))</f>
        <v>100</v>
      </c>
      <c r="H63" s="503">
        <f>IF(B_fldMntGleich=H_Label!$B$117,H$62,IF(B_fldTageGleich=H_Label!$B$117,$E63,'fiche du personnel'!K44))</f>
        <v>100</v>
      </c>
      <c r="I63" s="503">
        <f>IF(B_fldMntGleich=H_Label!$B$117,I$62,IF(B_fldTageGleich=H_Label!$B$117,$E63,'fiche du personnel'!M44))</f>
        <v>100</v>
      </c>
      <c r="J63" s="343">
        <f t="shared" si="1"/>
        <v>5</v>
      </c>
      <c r="K63" s="343">
        <f>D63%*Admin_Konfig!$G$22</f>
        <v>8</v>
      </c>
      <c r="L63" s="505">
        <f>H_MNT!$K$50</f>
        <v>1</v>
      </c>
      <c r="M63" s="505">
        <f>H_MNT!$K$48</f>
        <v>1</v>
      </c>
      <c r="N63" s="345" t="str">
        <f>IF(M63&gt;=Admin_Konfig!$G$12,"h","t")</f>
        <v>h</v>
      </c>
      <c r="O63" s="576" t="e" cm="1">
        <f t="array" aca="1" ref="O63" ca="1">IF(YEAR($F$10)&lt;=1900,fehler,DATEDIF($F$10,DATE(A_Jahr,B63+1,1)-1,"y"))</f>
        <v>#VALUE!</v>
      </c>
      <c r="P63" s="576" t="e" cm="1">
        <f t="array" aca="1" ref="P63" ca="1">SUMPRODUCT(($D$34:$D$37&lt;=O63)*($E$34:$E$37&gt;=O63)*$F$34:$F$37)</f>
        <v>#VALUE!</v>
      </c>
      <c r="Q63" s="577" t="str">
        <f t="shared" ref="Q63:Q73" si="7">IF(MONTH($D$45)=B63,$D$45,"")</f>
        <v/>
      </c>
      <c r="R63" s="577" t="str">
        <f t="shared" si="2"/>
        <v/>
      </c>
      <c r="S63" s="588">
        <f t="shared" ref="S63:S73" si="8">IF(AND(B63&gt;=MONTH($D$45),B63&lt;=MONTH($D$46)),1,0)</f>
        <v>1</v>
      </c>
      <c r="T63" s="588" t="str">
        <f t="shared" si="3"/>
        <v>Monat</v>
      </c>
      <c r="U63" s="588">
        <f t="shared" si="4"/>
        <v>0</v>
      </c>
      <c r="V63" s="578" t="e">
        <f t="shared" ca="1" si="5"/>
        <v>#VALUE!</v>
      </c>
      <c r="W63" s="578" t="e">
        <f t="shared" ca="1" si="6"/>
        <v>#VALUE!</v>
      </c>
      <c r="X63" s="38"/>
      <c r="Y63" s="38"/>
    </row>
    <row r="64" spans="2:25" x14ac:dyDescent="0.2">
      <c r="B64" s="120">
        <v>3</v>
      </c>
      <c r="C64" s="73" t="s">
        <v>70</v>
      </c>
      <c r="D64" s="343">
        <f t="shared" si="0"/>
        <v>100</v>
      </c>
      <c r="E64" s="503">
        <f>IF(B_fldMntGleich=H_Label!$B$117,E$62,'fiche du personnel'!E45)</f>
        <v>100</v>
      </c>
      <c r="F64" s="503">
        <f>IF(B_fldMntGleich=H_Label!$B$117,F$62,IF(B_fldTageGleich=H_Label!$B$117,$E64,'fiche du personnel'!G45))</f>
        <v>100</v>
      </c>
      <c r="G64" s="503">
        <f>IF(B_fldMntGleich=H_Label!$B$117,G$62,IF(B_fldTageGleich=H_Label!$B$117,$E64,'fiche du personnel'!I45))</f>
        <v>100</v>
      </c>
      <c r="H64" s="503">
        <f>IF(B_fldMntGleich=H_Label!$B$117,H$62,IF(B_fldTageGleich=H_Label!$B$117,$E64,'fiche du personnel'!K45))</f>
        <v>100</v>
      </c>
      <c r="I64" s="503">
        <f>IF(B_fldMntGleich=H_Label!$B$117,I$62,IF(B_fldTageGleich=H_Label!$B$117,$E64,'fiche du personnel'!M45))</f>
        <v>100</v>
      </c>
      <c r="J64" s="343">
        <f t="shared" si="1"/>
        <v>5</v>
      </c>
      <c r="K64" s="343">
        <f>D64%*Admin_Konfig!$G$22</f>
        <v>8</v>
      </c>
      <c r="L64" s="505">
        <f>H_MNT!$L$50</f>
        <v>1</v>
      </c>
      <c r="M64" s="505">
        <f>H_MNT!$L$48</f>
        <v>1</v>
      </c>
      <c r="N64" s="345" t="str">
        <f>IF(M64&gt;=Admin_Konfig!$G$12,"h","t")</f>
        <v>h</v>
      </c>
      <c r="O64" s="576" t="e" cm="1">
        <f t="array" aca="1" ref="O64" ca="1">IF(YEAR($F$10)&lt;=1900,fehler,DATEDIF($F$10,DATE(A_Jahr,B64+1,1)-1,"y"))</f>
        <v>#VALUE!</v>
      </c>
      <c r="P64" s="576" t="e" cm="1">
        <f t="array" aca="1" ref="P64" ca="1">SUMPRODUCT(($D$34:$D$37&lt;=O64)*($E$34:$E$37&gt;=O64)*$F$34:$F$37)</f>
        <v>#VALUE!</v>
      </c>
      <c r="Q64" s="577" t="str">
        <f t="shared" si="7"/>
        <v/>
      </c>
      <c r="R64" s="577" t="str">
        <f t="shared" si="2"/>
        <v/>
      </c>
      <c r="S64" s="588">
        <f t="shared" si="8"/>
        <v>1</v>
      </c>
      <c r="T64" s="588" t="str">
        <f t="shared" si="3"/>
        <v>Monat</v>
      </c>
      <c r="U64" s="588">
        <f t="shared" si="4"/>
        <v>0</v>
      </c>
      <c r="V64" s="578" t="e">
        <f t="shared" ca="1" si="5"/>
        <v>#VALUE!</v>
      </c>
      <c r="W64" s="578" t="e">
        <f t="shared" ca="1" si="6"/>
        <v>#VALUE!</v>
      </c>
      <c r="X64" s="38"/>
      <c r="Y64" s="55"/>
    </row>
    <row r="65" spans="2:25" x14ac:dyDescent="0.2">
      <c r="B65" s="120">
        <v>4</v>
      </c>
      <c r="C65" s="73" t="s">
        <v>71</v>
      </c>
      <c r="D65" s="343">
        <f t="shared" si="0"/>
        <v>100</v>
      </c>
      <c r="E65" s="503">
        <f>IF(B_fldMntGleich=H_Label!$B$117,E$62,'fiche du personnel'!E46)</f>
        <v>100</v>
      </c>
      <c r="F65" s="503">
        <f>IF(B_fldMntGleich=H_Label!$B$117,F$62,IF(B_fldTageGleich=H_Label!$B$117,$E65,'fiche du personnel'!G46))</f>
        <v>100</v>
      </c>
      <c r="G65" s="503">
        <f>IF(B_fldMntGleich=H_Label!$B$117,G$62,IF(B_fldTageGleich=H_Label!$B$117,$E65,'fiche du personnel'!I46))</f>
        <v>100</v>
      </c>
      <c r="H65" s="503">
        <f>IF(B_fldMntGleich=H_Label!$B$117,H$62,IF(B_fldTageGleich=H_Label!$B$117,$E65,'fiche du personnel'!K46))</f>
        <v>100</v>
      </c>
      <c r="I65" s="503">
        <f>IF(B_fldMntGleich=H_Label!$B$117,I$62,IF(B_fldTageGleich=H_Label!$B$117,$E65,'fiche du personnel'!M46))</f>
        <v>100</v>
      </c>
      <c r="J65" s="343">
        <f t="shared" si="1"/>
        <v>5</v>
      </c>
      <c r="K65" s="343">
        <f>D65%*Admin_Konfig!$G$22</f>
        <v>8</v>
      </c>
      <c r="L65" s="505">
        <f>H_MNT!$M$50</f>
        <v>1</v>
      </c>
      <c r="M65" s="505">
        <f>H_MNT!$M$48</f>
        <v>1</v>
      </c>
      <c r="N65" s="345" t="str">
        <f>IF(M65&gt;=Admin_Konfig!$G$12,"h","t")</f>
        <v>h</v>
      </c>
      <c r="O65" s="576" t="e" cm="1">
        <f t="array" aca="1" ref="O65" ca="1">IF(YEAR($F$10)&lt;=1900,fehler,DATEDIF($F$10,DATE(A_Jahr,B65+1,1)-1,"y"))</f>
        <v>#VALUE!</v>
      </c>
      <c r="P65" s="576" t="e" cm="1">
        <f t="array" aca="1" ref="P65" ca="1">SUMPRODUCT(($D$34:$D$37&lt;=O65)*($E$34:$E$37&gt;=O65)*$F$34:$F$37)</f>
        <v>#VALUE!</v>
      </c>
      <c r="Q65" s="577" t="str">
        <f t="shared" si="7"/>
        <v/>
      </c>
      <c r="R65" s="577" t="str">
        <f t="shared" si="2"/>
        <v/>
      </c>
      <c r="S65" s="588">
        <f t="shared" si="8"/>
        <v>1</v>
      </c>
      <c r="T65" s="588" t="str">
        <f t="shared" si="3"/>
        <v>Monat</v>
      </c>
      <c r="U65" s="588">
        <f t="shared" si="4"/>
        <v>0</v>
      </c>
      <c r="V65" s="578" t="e">
        <f t="shared" ca="1" si="5"/>
        <v>#VALUE!</v>
      </c>
      <c r="W65" s="578" t="e">
        <f t="shared" ca="1" si="6"/>
        <v>#VALUE!</v>
      </c>
      <c r="X65" s="38"/>
      <c r="Y65" s="55"/>
    </row>
    <row r="66" spans="2:25" x14ac:dyDescent="0.2">
      <c r="B66" s="120">
        <v>5</v>
      </c>
      <c r="C66" s="73" t="s">
        <v>72</v>
      </c>
      <c r="D66" s="343">
        <f t="shared" si="0"/>
        <v>100</v>
      </c>
      <c r="E66" s="503">
        <f>IF(B_fldMntGleich=H_Label!$B$117,E$62,'fiche du personnel'!E47)</f>
        <v>100</v>
      </c>
      <c r="F66" s="503">
        <f>IF(B_fldMntGleich=H_Label!$B$117,F$62,IF(B_fldTageGleich=H_Label!$B$117,$E66,'fiche du personnel'!G47))</f>
        <v>100</v>
      </c>
      <c r="G66" s="503">
        <f>IF(B_fldMntGleich=H_Label!$B$117,G$62,IF(B_fldTageGleich=H_Label!$B$117,$E66,'fiche du personnel'!I47))</f>
        <v>100</v>
      </c>
      <c r="H66" s="503">
        <f>IF(B_fldMntGleich=H_Label!$B$117,H$62,IF(B_fldTageGleich=H_Label!$B$117,$E66,'fiche du personnel'!K47))</f>
        <v>100</v>
      </c>
      <c r="I66" s="503">
        <f>IF(B_fldMntGleich=H_Label!$B$117,I$62,IF(B_fldTageGleich=H_Label!$B$117,$E66,'fiche du personnel'!M47))</f>
        <v>100</v>
      </c>
      <c r="J66" s="343">
        <f t="shared" si="1"/>
        <v>5</v>
      </c>
      <c r="K66" s="343">
        <f>D66%*Admin_Konfig!$G$22</f>
        <v>8</v>
      </c>
      <c r="L66" s="505">
        <f>H_MNT!$N$50</f>
        <v>1</v>
      </c>
      <c r="M66" s="505">
        <f>H_MNT!$N$48</f>
        <v>1</v>
      </c>
      <c r="N66" s="345" t="str">
        <f>IF(M66&gt;=Admin_Konfig!$G$12,"h","t")</f>
        <v>h</v>
      </c>
      <c r="O66" s="576" t="e" cm="1">
        <f t="array" aca="1" ref="O66" ca="1">IF(YEAR($F$10)&lt;=1900,fehler,DATEDIF($F$10,DATE(A_Jahr,B66+1,1)-1,"y"))</f>
        <v>#VALUE!</v>
      </c>
      <c r="P66" s="576" t="e" cm="1">
        <f t="array" aca="1" ref="P66" ca="1">SUMPRODUCT(($D$34:$D$37&lt;=O66)*($E$34:$E$37&gt;=O66)*$F$34:$F$37)</f>
        <v>#VALUE!</v>
      </c>
      <c r="Q66" s="577" t="str">
        <f t="shared" si="7"/>
        <v/>
      </c>
      <c r="R66" s="577" t="str">
        <f t="shared" si="2"/>
        <v/>
      </c>
      <c r="S66" s="588">
        <f t="shared" si="8"/>
        <v>1</v>
      </c>
      <c r="T66" s="588" t="str">
        <f t="shared" si="3"/>
        <v>Monat</v>
      </c>
      <c r="U66" s="588">
        <f t="shared" si="4"/>
        <v>0</v>
      </c>
      <c r="V66" s="578" t="e">
        <f t="shared" ca="1" si="5"/>
        <v>#VALUE!</v>
      </c>
      <c r="W66" s="578" t="e">
        <f t="shared" ca="1" si="6"/>
        <v>#VALUE!</v>
      </c>
      <c r="X66" s="38"/>
      <c r="Y66" s="38"/>
    </row>
    <row r="67" spans="2:25" x14ac:dyDescent="0.2">
      <c r="B67" s="120">
        <v>6</v>
      </c>
      <c r="C67" s="73" t="s">
        <v>73</v>
      </c>
      <c r="D67" s="343">
        <f t="shared" si="0"/>
        <v>100</v>
      </c>
      <c r="E67" s="503">
        <f>IF(B_fldMntGleich=H_Label!$B$117,E$62,'fiche du personnel'!E48)</f>
        <v>100</v>
      </c>
      <c r="F67" s="503">
        <f>IF(B_fldMntGleich=H_Label!$B$117,F$62,IF(B_fldTageGleich=H_Label!$B$117,$E67,'fiche du personnel'!G48))</f>
        <v>100</v>
      </c>
      <c r="G67" s="503">
        <f>IF(B_fldMntGleich=H_Label!$B$117,G$62,IF(B_fldTageGleich=H_Label!$B$117,$E67,'fiche du personnel'!I48))</f>
        <v>100</v>
      </c>
      <c r="H67" s="503">
        <f>IF(B_fldMntGleich=H_Label!$B$117,H$62,IF(B_fldTageGleich=H_Label!$B$117,$E67,'fiche du personnel'!K48))</f>
        <v>100</v>
      </c>
      <c r="I67" s="503">
        <f>IF(B_fldMntGleich=H_Label!$B$117,I$62,IF(B_fldTageGleich=H_Label!$B$117,$E67,'fiche du personnel'!M48))</f>
        <v>100</v>
      </c>
      <c r="J67" s="343">
        <f t="shared" si="1"/>
        <v>5</v>
      </c>
      <c r="K67" s="343">
        <f>D67%*Admin_Konfig!$G$22</f>
        <v>8</v>
      </c>
      <c r="L67" s="505">
        <f>H_MNT!$O$50</f>
        <v>1</v>
      </c>
      <c r="M67" s="505">
        <f>H_MNT!$O$48</f>
        <v>1</v>
      </c>
      <c r="N67" s="345" t="str">
        <f>IF(M67&gt;=Admin_Konfig!$G$12,"h","t")</f>
        <v>h</v>
      </c>
      <c r="O67" s="576" t="e" cm="1">
        <f t="array" aca="1" ref="O67" ca="1">IF(YEAR($F$10)&lt;=1900,fehler,DATEDIF($F$10,DATE(A_Jahr,B67+1,1)-1,"y"))</f>
        <v>#VALUE!</v>
      </c>
      <c r="P67" s="576" t="e" cm="1">
        <f t="array" aca="1" ref="P67" ca="1">SUMPRODUCT(($D$34:$D$37&lt;=O67)*($E$34:$E$37&gt;=O67)*$F$34:$F$37)</f>
        <v>#VALUE!</v>
      </c>
      <c r="Q67" s="577" t="str">
        <f t="shared" si="7"/>
        <v/>
      </c>
      <c r="R67" s="577" t="str">
        <f t="shared" si="2"/>
        <v/>
      </c>
      <c r="S67" s="588">
        <f t="shared" si="8"/>
        <v>1</v>
      </c>
      <c r="T67" s="588" t="str">
        <f t="shared" si="3"/>
        <v>Monat</v>
      </c>
      <c r="U67" s="588">
        <f t="shared" si="4"/>
        <v>0</v>
      </c>
      <c r="V67" s="578" t="e">
        <f t="shared" ca="1" si="5"/>
        <v>#VALUE!</v>
      </c>
      <c r="W67" s="578" t="e">
        <f t="shared" ca="1" si="6"/>
        <v>#VALUE!</v>
      </c>
      <c r="X67" s="38"/>
      <c r="Y67" s="38"/>
    </row>
    <row r="68" spans="2:25" x14ac:dyDescent="0.2">
      <c r="B68" s="120">
        <v>7</v>
      </c>
      <c r="C68" s="73" t="s">
        <v>74</v>
      </c>
      <c r="D68" s="343">
        <f t="shared" si="0"/>
        <v>100</v>
      </c>
      <c r="E68" s="503">
        <f>IF(B_fldMntGleich=H_Label!$B$117,E$62,'fiche du personnel'!E49)</f>
        <v>100</v>
      </c>
      <c r="F68" s="503">
        <f>IF(B_fldMntGleich=H_Label!$B$117,F$62,IF(B_fldTageGleich=H_Label!$B$117,$E68,'fiche du personnel'!G49))</f>
        <v>100</v>
      </c>
      <c r="G68" s="503">
        <f>IF(B_fldMntGleich=H_Label!$B$117,G$62,IF(B_fldTageGleich=H_Label!$B$117,$E68,'fiche du personnel'!I49))</f>
        <v>100</v>
      </c>
      <c r="H68" s="503">
        <f>IF(B_fldMntGleich=H_Label!$B$117,H$62,IF(B_fldTageGleich=H_Label!$B$117,$E68,'fiche du personnel'!K49))</f>
        <v>100</v>
      </c>
      <c r="I68" s="503">
        <f>IF(B_fldMntGleich=H_Label!$B$117,I$62,IF(B_fldTageGleich=H_Label!$B$117,$E68,'fiche du personnel'!M49))</f>
        <v>100</v>
      </c>
      <c r="J68" s="343">
        <f t="shared" si="1"/>
        <v>5</v>
      </c>
      <c r="K68" s="343">
        <f>D68%*Admin_Konfig!$G$22</f>
        <v>8</v>
      </c>
      <c r="L68" s="505">
        <f>H_MNT!$P$50</f>
        <v>1</v>
      </c>
      <c r="M68" s="505">
        <f>H_MNT!$P$48</f>
        <v>1</v>
      </c>
      <c r="N68" s="345" t="str">
        <f>IF(M68&gt;=Admin_Konfig!$G$12,"h","t")</f>
        <v>h</v>
      </c>
      <c r="O68" s="576" t="e" cm="1">
        <f t="array" aca="1" ref="O68" ca="1">IF(YEAR($F$10)&lt;=1900,fehler,DATEDIF($F$10,DATE(A_Jahr,B68+1,1)-1,"y"))</f>
        <v>#VALUE!</v>
      </c>
      <c r="P68" s="576" t="e" cm="1">
        <f t="array" aca="1" ref="P68" ca="1">SUMPRODUCT(($D$34:$D$37&lt;=O68)*($E$34:$E$37&gt;=O68)*$F$34:$F$37)</f>
        <v>#VALUE!</v>
      </c>
      <c r="Q68" s="577" t="str">
        <f t="shared" si="7"/>
        <v/>
      </c>
      <c r="R68" s="577" t="str">
        <f t="shared" si="2"/>
        <v/>
      </c>
      <c r="S68" s="588">
        <f t="shared" si="8"/>
        <v>1</v>
      </c>
      <c r="T68" s="588" t="str">
        <f t="shared" si="3"/>
        <v>Monat</v>
      </c>
      <c r="U68" s="588">
        <f t="shared" si="4"/>
        <v>0</v>
      </c>
      <c r="V68" s="578" t="e">
        <f t="shared" ca="1" si="5"/>
        <v>#VALUE!</v>
      </c>
      <c r="W68" s="578" t="e">
        <f t="shared" ca="1" si="6"/>
        <v>#VALUE!</v>
      </c>
      <c r="X68" s="38"/>
      <c r="Y68" s="38"/>
    </row>
    <row r="69" spans="2:25" x14ac:dyDescent="0.2">
      <c r="B69" s="120">
        <v>8</v>
      </c>
      <c r="C69" s="73" t="s">
        <v>75</v>
      </c>
      <c r="D69" s="343">
        <f t="shared" si="0"/>
        <v>100</v>
      </c>
      <c r="E69" s="503">
        <f>IF(B_fldMntGleich=H_Label!$B$117,E$62,'fiche du personnel'!E50)</f>
        <v>100</v>
      </c>
      <c r="F69" s="503">
        <f>IF(B_fldMntGleich=H_Label!$B$117,F$62,IF(B_fldTageGleich=H_Label!$B$117,$E69,'fiche du personnel'!G50))</f>
        <v>100</v>
      </c>
      <c r="G69" s="503">
        <f>IF(B_fldMntGleich=H_Label!$B$117,G$62,IF(B_fldTageGleich=H_Label!$B$117,$E69,'fiche du personnel'!I50))</f>
        <v>100</v>
      </c>
      <c r="H69" s="503">
        <f>IF(B_fldMntGleich=H_Label!$B$117,H$62,IF(B_fldTageGleich=H_Label!$B$117,$E69,'fiche du personnel'!K50))</f>
        <v>100</v>
      </c>
      <c r="I69" s="503">
        <f>IF(B_fldMntGleich=H_Label!$B$117,I$62,IF(B_fldTageGleich=H_Label!$B$117,$E69,'fiche du personnel'!M50))</f>
        <v>100</v>
      </c>
      <c r="J69" s="343">
        <f t="shared" si="1"/>
        <v>5</v>
      </c>
      <c r="K69" s="343">
        <f>D69%*Admin_Konfig!$G$22</f>
        <v>8</v>
      </c>
      <c r="L69" s="505">
        <f>H_MNT!$Q$50</f>
        <v>1</v>
      </c>
      <c r="M69" s="505">
        <f>H_MNT!$Q$48</f>
        <v>1</v>
      </c>
      <c r="N69" s="345" t="str">
        <f>IF(M69&gt;=Admin_Konfig!$G$12,"h","t")</f>
        <v>h</v>
      </c>
      <c r="O69" s="576" t="e" cm="1">
        <f t="array" aca="1" ref="O69" ca="1">IF(YEAR($F$10)&lt;=1900,fehler,DATEDIF($F$10,DATE(A_Jahr,B69+1,1)-1,"y"))</f>
        <v>#VALUE!</v>
      </c>
      <c r="P69" s="576" t="e" cm="1">
        <f t="array" aca="1" ref="P69" ca="1">SUMPRODUCT(($D$34:$D$37&lt;=O69)*($E$34:$E$37&gt;=O69)*$F$34:$F$37)</f>
        <v>#VALUE!</v>
      </c>
      <c r="Q69" s="577" t="str">
        <f t="shared" si="7"/>
        <v/>
      </c>
      <c r="R69" s="577" t="str">
        <f t="shared" si="2"/>
        <v/>
      </c>
      <c r="S69" s="588">
        <f t="shared" si="8"/>
        <v>1</v>
      </c>
      <c r="T69" s="588" t="str">
        <f t="shared" si="3"/>
        <v>Monat</v>
      </c>
      <c r="U69" s="588">
        <f t="shared" si="4"/>
        <v>0</v>
      </c>
      <c r="V69" s="578" t="e">
        <f t="shared" ca="1" si="5"/>
        <v>#VALUE!</v>
      </c>
      <c r="W69" s="578" t="e">
        <f t="shared" ca="1" si="6"/>
        <v>#VALUE!</v>
      </c>
      <c r="X69" s="38"/>
      <c r="Y69" s="38"/>
    </row>
    <row r="70" spans="2:25" x14ac:dyDescent="0.2">
      <c r="B70" s="120">
        <v>9</v>
      </c>
      <c r="C70" s="73" t="s">
        <v>76</v>
      </c>
      <c r="D70" s="343">
        <f t="shared" si="0"/>
        <v>100</v>
      </c>
      <c r="E70" s="503">
        <f>IF(B_fldMntGleich=H_Label!$B$117,E$62,'fiche du personnel'!E51)</f>
        <v>100</v>
      </c>
      <c r="F70" s="503">
        <f>IF(B_fldMntGleich=H_Label!$B$117,F$62,IF(B_fldTageGleich=H_Label!$B$117,$E70,'fiche du personnel'!G51))</f>
        <v>100</v>
      </c>
      <c r="G70" s="503">
        <f>IF(B_fldMntGleich=H_Label!$B$117,G$62,IF(B_fldTageGleich=H_Label!$B$117,$E70,'fiche du personnel'!I51))</f>
        <v>100</v>
      </c>
      <c r="H70" s="503">
        <f>IF(B_fldMntGleich=H_Label!$B$117,H$62,IF(B_fldTageGleich=H_Label!$B$117,$E70,'fiche du personnel'!K51))</f>
        <v>100</v>
      </c>
      <c r="I70" s="503">
        <f>IF(B_fldMntGleich=H_Label!$B$117,I$62,IF(B_fldTageGleich=H_Label!$B$117,$E70,'fiche du personnel'!M51))</f>
        <v>100</v>
      </c>
      <c r="J70" s="343">
        <f t="shared" si="1"/>
        <v>5</v>
      </c>
      <c r="K70" s="343">
        <f>D70%*Admin_Konfig!$G$22</f>
        <v>8</v>
      </c>
      <c r="L70" s="505">
        <f>H_MNT!$R$50</f>
        <v>1</v>
      </c>
      <c r="M70" s="505">
        <f>H_MNT!$R$48</f>
        <v>1</v>
      </c>
      <c r="N70" s="345" t="str">
        <f>IF(M70&gt;=Admin_Konfig!$G$12,"h","t")</f>
        <v>h</v>
      </c>
      <c r="O70" s="576" t="e" cm="1">
        <f t="array" aca="1" ref="O70" ca="1">IF(YEAR($F$10)&lt;=1900,fehler,DATEDIF($F$10,DATE(A_Jahr,B70+1,1)-1,"y"))</f>
        <v>#VALUE!</v>
      </c>
      <c r="P70" s="576" t="e" cm="1">
        <f t="array" aca="1" ref="P70" ca="1">SUMPRODUCT(($D$34:$D$37&lt;=O70)*($E$34:$E$37&gt;=O70)*$F$34:$F$37)</f>
        <v>#VALUE!</v>
      </c>
      <c r="Q70" s="577" t="str">
        <f t="shared" si="7"/>
        <v/>
      </c>
      <c r="R70" s="577" t="str">
        <f t="shared" si="2"/>
        <v/>
      </c>
      <c r="S70" s="588">
        <f t="shared" si="8"/>
        <v>1</v>
      </c>
      <c r="T70" s="588" t="str">
        <f t="shared" si="3"/>
        <v>Monat</v>
      </c>
      <c r="U70" s="588">
        <f t="shared" si="4"/>
        <v>0</v>
      </c>
      <c r="V70" s="578" t="e">
        <f t="shared" ca="1" si="5"/>
        <v>#VALUE!</v>
      </c>
      <c r="W70" s="578" t="e">
        <f t="shared" ca="1" si="6"/>
        <v>#VALUE!</v>
      </c>
      <c r="X70" s="38"/>
      <c r="Y70" s="38"/>
    </row>
    <row r="71" spans="2:25" x14ac:dyDescent="0.2">
      <c r="B71" s="120">
        <v>10</v>
      </c>
      <c r="C71" s="73" t="s">
        <v>77</v>
      </c>
      <c r="D71" s="343">
        <f t="shared" si="0"/>
        <v>100</v>
      </c>
      <c r="E71" s="503">
        <f>IF(B_fldMntGleich=H_Label!$B$117,E$62,'fiche du personnel'!E52)</f>
        <v>100</v>
      </c>
      <c r="F71" s="503">
        <f>IF(B_fldMntGleich=H_Label!$B$117,F$62,IF(B_fldTageGleich=H_Label!$B$117,$E71,'fiche du personnel'!G52))</f>
        <v>100</v>
      </c>
      <c r="G71" s="503">
        <f>IF(B_fldMntGleich=H_Label!$B$117,G$62,IF(B_fldTageGleich=H_Label!$B$117,$E71,'fiche du personnel'!I52))</f>
        <v>100</v>
      </c>
      <c r="H71" s="503">
        <f>IF(B_fldMntGleich=H_Label!$B$117,H$62,IF(B_fldTageGleich=H_Label!$B$117,$E71,'fiche du personnel'!K52))</f>
        <v>100</v>
      </c>
      <c r="I71" s="503">
        <f>IF(B_fldMntGleich=H_Label!$B$117,I$62,IF(B_fldTageGleich=H_Label!$B$117,$E71,'fiche du personnel'!M52))</f>
        <v>100</v>
      </c>
      <c r="J71" s="343">
        <f t="shared" si="1"/>
        <v>5</v>
      </c>
      <c r="K71" s="343">
        <f>D71%*Admin_Konfig!$G$22</f>
        <v>8</v>
      </c>
      <c r="L71" s="505">
        <f>H_MNT!$S$50</f>
        <v>1</v>
      </c>
      <c r="M71" s="505">
        <f>H_MNT!$S$48</f>
        <v>1</v>
      </c>
      <c r="N71" s="345" t="str">
        <f>IF(M71&gt;=Admin_Konfig!$G$12,"h","t")</f>
        <v>h</v>
      </c>
      <c r="O71" s="576" t="e" cm="1">
        <f t="array" aca="1" ref="O71" ca="1">IF(YEAR($F$10)&lt;=1900,fehler,DATEDIF($F$10,DATE(A_Jahr,B71+1,1)-1,"y"))</f>
        <v>#VALUE!</v>
      </c>
      <c r="P71" s="576" t="e" cm="1">
        <f t="array" aca="1" ref="P71" ca="1">SUMPRODUCT(($D$34:$D$37&lt;=O71)*($E$34:$E$37&gt;=O71)*$F$34:$F$37)</f>
        <v>#VALUE!</v>
      </c>
      <c r="Q71" s="577" t="str">
        <f t="shared" si="7"/>
        <v/>
      </c>
      <c r="R71" s="577" t="str">
        <f t="shared" si="2"/>
        <v/>
      </c>
      <c r="S71" s="588">
        <f t="shared" si="8"/>
        <v>1</v>
      </c>
      <c r="T71" s="588" t="str">
        <f t="shared" si="3"/>
        <v>Monat</v>
      </c>
      <c r="U71" s="588">
        <f t="shared" si="4"/>
        <v>0</v>
      </c>
      <c r="V71" s="578" t="e">
        <f t="shared" ca="1" si="5"/>
        <v>#VALUE!</v>
      </c>
      <c r="W71" s="578" t="e">
        <f t="shared" ca="1" si="6"/>
        <v>#VALUE!</v>
      </c>
      <c r="X71" s="38"/>
      <c r="Y71" s="38"/>
    </row>
    <row r="72" spans="2:25" x14ac:dyDescent="0.2">
      <c r="B72" s="120">
        <v>11</v>
      </c>
      <c r="C72" s="73" t="s">
        <v>78</v>
      </c>
      <c r="D72" s="343">
        <f t="shared" si="0"/>
        <v>100</v>
      </c>
      <c r="E72" s="503">
        <f>IF(B_fldMntGleich=H_Label!$B$117,E$62,'fiche du personnel'!E53)</f>
        <v>100</v>
      </c>
      <c r="F72" s="503">
        <f>IF(B_fldMntGleich=H_Label!$B$117,F$62,IF(B_fldTageGleich=H_Label!$B$117,$E72,'fiche du personnel'!G53))</f>
        <v>100</v>
      </c>
      <c r="G72" s="503">
        <f>IF(B_fldMntGleich=H_Label!$B$117,G$62,IF(B_fldTageGleich=H_Label!$B$117,$E72,'fiche du personnel'!I53))</f>
        <v>100</v>
      </c>
      <c r="H72" s="503">
        <f>IF(B_fldMntGleich=H_Label!$B$117,H$62,IF(B_fldTageGleich=H_Label!$B$117,$E72,'fiche du personnel'!K53))</f>
        <v>100</v>
      </c>
      <c r="I72" s="503">
        <f>IF(B_fldMntGleich=H_Label!$B$117,I$62,IF(B_fldTageGleich=H_Label!$B$117,$E72,'fiche du personnel'!M53))</f>
        <v>100</v>
      </c>
      <c r="J72" s="343">
        <f t="shared" si="1"/>
        <v>5</v>
      </c>
      <c r="K72" s="343">
        <f>D72%*Admin_Konfig!$G$22</f>
        <v>8</v>
      </c>
      <c r="L72" s="505">
        <f>H_MNT!$T$50</f>
        <v>1</v>
      </c>
      <c r="M72" s="505">
        <f>H_MNT!$T$48</f>
        <v>1</v>
      </c>
      <c r="N72" s="345" t="str">
        <f>IF(M72&gt;=Admin_Konfig!$G$12,"h","t")</f>
        <v>h</v>
      </c>
      <c r="O72" s="576" t="e" cm="1">
        <f t="array" aca="1" ref="O72" ca="1">IF(YEAR($F$10)&lt;=1900,fehler,DATEDIF($F$10,DATE(A_Jahr,B72+1,1)-1,"y"))</f>
        <v>#VALUE!</v>
      </c>
      <c r="P72" s="576" t="e" cm="1">
        <f t="array" aca="1" ref="P72" ca="1">SUMPRODUCT(($D$34:$D$37&lt;=O72)*($E$34:$E$37&gt;=O72)*$F$34:$F$37)</f>
        <v>#VALUE!</v>
      </c>
      <c r="Q72" s="577" t="str">
        <f t="shared" si="7"/>
        <v/>
      </c>
      <c r="R72" s="577" t="str">
        <f t="shared" si="2"/>
        <v/>
      </c>
      <c r="S72" s="588">
        <f t="shared" si="8"/>
        <v>1</v>
      </c>
      <c r="T72" s="588" t="str">
        <f t="shared" si="3"/>
        <v>Monat</v>
      </c>
      <c r="U72" s="588">
        <f t="shared" si="4"/>
        <v>0</v>
      </c>
      <c r="V72" s="578" t="e">
        <f t="shared" ca="1" si="5"/>
        <v>#VALUE!</v>
      </c>
      <c r="W72" s="578" t="e">
        <f t="shared" ca="1" si="6"/>
        <v>#VALUE!</v>
      </c>
      <c r="X72" s="38"/>
      <c r="Y72" s="38"/>
    </row>
    <row r="73" spans="2:25" ht="13.5" thickBot="1" x14ac:dyDescent="0.25">
      <c r="B73" s="120">
        <v>12</v>
      </c>
      <c r="C73" s="77" t="s">
        <v>79</v>
      </c>
      <c r="D73" s="343">
        <f t="shared" si="0"/>
        <v>100</v>
      </c>
      <c r="E73" s="504">
        <f>IF(B_fldMntGleich=H_Label!$B$117,E$62,'fiche du personnel'!E54)</f>
        <v>100</v>
      </c>
      <c r="F73" s="504">
        <f>IF(B_fldMntGleich=H_Label!$B$117,F$62,IF(B_fldTageGleich=H_Label!$B$117,$E73,'fiche du personnel'!G54))</f>
        <v>100</v>
      </c>
      <c r="G73" s="504">
        <f>IF(B_fldMntGleich=H_Label!$B$117,G$62,IF(B_fldTageGleich=H_Label!$B$117,$E73,'fiche du personnel'!I54))</f>
        <v>100</v>
      </c>
      <c r="H73" s="504">
        <f>IF(B_fldMntGleich=H_Label!$B$117,H$62,IF(B_fldTageGleich=H_Label!$B$117,$E73,'fiche du personnel'!K54))</f>
        <v>100</v>
      </c>
      <c r="I73" s="504">
        <f>IF(B_fldMntGleich=H_Label!$B$117,I$62,IF(B_fldTageGleich=H_Label!$B$117,$E73,'fiche du personnel'!M54))</f>
        <v>100</v>
      </c>
      <c r="J73" s="344">
        <f t="shared" si="1"/>
        <v>5</v>
      </c>
      <c r="K73" s="344">
        <f>D73%*Admin_Konfig!$G$22</f>
        <v>8</v>
      </c>
      <c r="L73" s="505">
        <f>H_MNT!$U$50</f>
        <v>1</v>
      </c>
      <c r="M73" s="505">
        <f>H_MNT!$U$48</f>
        <v>1</v>
      </c>
      <c r="N73" s="345" t="str">
        <f>IF(M73&gt;=Admin_Konfig!$G$12,"h","t")</f>
        <v>h</v>
      </c>
      <c r="O73" s="576" t="e" cm="1">
        <f t="array" aca="1" ref="O73" ca="1">IF(YEAR($F$10)&lt;=1900,fehler,DATEDIF($F$10,DATE(A_Jahr,B73+1,1)-1,"y"))</f>
        <v>#VALUE!</v>
      </c>
      <c r="P73" s="576" t="e" cm="1">
        <f t="array" aca="1" ref="P73" ca="1">SUMPRODUCT(($D$34:$D$37&lt;=O73)*($E$34:$E$37&gt;=O73)*$F$34:$F$37)</f>
        <v>#VALUE!</v>
      </c>
      <c r="Q73" s="577" t="str">
        <f t="shared" si="7"/>
        <v/>
      </c>
      <c r="R73" s="577" t="str">
        <f>IF($D$46&lt;&gt;DATE(A_Jahr,12,31),IF(MONTH($D$46)=B73,$D$46,""),"")</f>
        <v/>
      </c>
      <c r="S73" s="588">
        <f t="shared" si="8"/>
        <v>1</v>
      </c>
      <c r="T73" s="588" t="str">
        <f t="shared" si="3"/>
        <v>Monat</v>
      </c>
      <c r="U73" s="588">
        <f t="shared" si="4"/>
        <v>0</v>
      </c>
      <c r="V73" s="580" t="e">
        <f t="shared" ca="1" si="5"/>
        <v>#VALUE!</v>
      </c>
      <c r="W73" s="578" t="e">
        <f t="shared" ca="1" si="6"/>
        <v>#VALUE!</v>
      </c>
      <c r="X73" s="38"/>
      <c r="Y73" s="38"/>
    </row>
    <row r="74" spans="2:25" ht="13.5" thickBot="1" x14ac:dyDescent="0.25">
      <c r="C74" s="78" t="s">
        <v>80</v>
      </c>
      <c r="D74" s="340">
        <f t="shared" ref="D74:K74" si="9">SUM(D62:D73)/12</f>
        <v>100</v>
      </c>
      <c r="E74" s="340">
        <f t="shared" si="9"/>
        <v>100</v>
      </c>
      <c r="F74" s="340">
        <f t="shared" si="9"/>
        <v>100</v>
      </c>
      <c r="G74" s="340">
        <f t="shared" si="9"/>
        <v>100</v>
      </c>
      <c r="H74" s="340">
        <f t="shared" si="9"/>
        <v>100</v>
      </c>
      <c r="I74" s="340">
        <f t="shared" si="9"/>
        <v>100</v>
      </c>
      <c r="J74" s="340">
        <f t="shared" si="9"/>
        <v>5</v>
      </c>
      <c r="K74" s="340">
        <f t="shared" si="9"/>
        <v>8</v>
      </c>
      <c r="L74" s="341">
        <f>SUM(L62:L73)/12</f>
        <v>1</v>
      </c>
      <c r="M74" s="341">
        <f>SUM(M62:M73)/12</f>
        <v>1</v>
      </c>
      <c r="N74" s="495" t="str">
        <f>IF(M74&gt;=Admin_Konfig!$G$12,"h","t")</f>
        <v>h</v>
      </c>
      <c r="O74" s="495"/>
      <c r="P74" s="495"/>
      <c r="Q74" s="495"/>
      <c r="R74" s="575"/>
      <c r="S74" s="590"/>
      <c r="T74" s="590"/>
      <c r="U74" s="575"/>
      <c r="V74" s="579" t="e">
        <f ca="1">ROUND(SUM(V62:V73)*20,0)/20</f>
        <v>#VALUE!</v>
      </c>
      <c r="W74" s="581" t="e">
        <f ca="1">ROUND(SUM(W62:W73)*20,0)/20</f>
        <v>#VALUE!</v>
      </c>
      <c r="X74" s="38"/>
      <c r="Y74" s="38"/>
    </row>
    <row r="75" spans="2:25" x14ac:dyDescent="0.2">
      <c r="C75" s="78" t="s">
        <v>81</v>
      </c>
      <c r="D75" s="354"/>
      <c r="E75" s="342">
        <v>1</v>
      </c>
      <c r="F75" s="342">
        <v>2</v>
      </c>
      <c r="G75" s="342">
        <v>3</v>
      </c>
      <c r="H75" s="342">
        <v>4</v>
      </c>
      <c r="I75" s="368">
        <v>5</v>
      </c>
      <c r="J75" s="355"/>
      <c r="K75" s="355"/>
      <c r="L75" s="355"/>
      <c r="M75" s="355"/>
    </row>
    <row r="77" spans="2:25" x14ac:dyDescent="0.2">
      <c r="C77" s="496" t="s">
        <v>532</v>
      </c>
      <c r="D77" s="500"/>
      <c r="E77" s="500"/>
      <c r="F77" s="500"/>
      <c r="G77" s="500"/>
      <c r="H77" s="496" t="s">
        <v>533</v>
      </c>
      <c r="I77" s="500"/>
      <c r="J77" s="500"/>
      <c r="K77" s="500"/>
      <c r="L77" s="500"/>
      <c r="M77" s="500"/>
      <c r="N77" s="500"/>
    </row>
    <row r="81" spans="2:47" ht="15.6" customHeight="1" x14ac:dyDescent="0.2">
      <c r="B81" s="655" t="s">
        <v>82</v>
      </c>
      <c r="C81" s="655"/>
      <c r="D81" s="655"/>
      <c r="E81" s="655"/>
      <c r="F81" s="655"/>
      <c r="G81" s="655"/>
      <c r="H81" s="655"/>
      <c r="I81" s="655"/>
      <c r="J81" s="655"/>
      <c r="K81" s="655"/>
      <c r="L81" s="655"/>
      <c r="M81" s="655"/>
      <c r="N81" s="301"/>
      <c r="O81" s="301"/>
      <c r="Q81" s="301"/>
      <c r="R81" s="301"/>
      <c r="S81" s="301"/>
      <c r="T81" s="301"/>
      <c r="U81" s="301"/>
      <c r="V81" s="301"/>
      <c r="W81" s="301"/>
      <c r="X81" s="301"/>
      <c r="Y81" s="301"/>
      <c r="Z81" s="301"/>
    </row>
    <row r="82" spans="2:47" x14ac:dyDescent="0.2">
      <c r="B82" s="103" t="s">
        <v>828</v>
      </c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6"/>
      <c r="Q82" s="96"/>
      <c r="R82" s="96"/>
      <c r="S82" s="96"/>
      <c r="T82" s="96"/>
      <c r="U82" s="96"/>
      <c r="V82" s="96"/>
      <c r="W82" s="96"/>
      <c r="X82" s="96"/>
      <c r="Y82" s="96"/>
      <c r="Z82" s="96"/>
    </row>
    <row r="83" spans="2:47" x14ac:dyDescent="0.2">
      <c r="AQ83" s="741" t="e">
        <f>DATEDIF(#REF!,#REF!,"y")</f>
        <v>#REF!</v>
      </c>
      <c r="AR83" s="741"/>
      <c r="AS83" s="741"/>
      <c r="AT83" s="741"/>
      <c r="AU83" s="741"/>
    </row>
    <row r="84" spans="2:47" x14ac:dyDescent="0.2">
      <c r="C84" s="239" t="s">
        <v>83</v>
      </c>
      <c r="D84" s="367" t="s">
        <v>84</v>
      </c>
      <c r="E84" s="367" t="s">
        <v>85</v>
      </c>
      <c r="F84" s="367" t="s">
        <v>86</v>
      </c>
    </row>
    <row r="85" spans="2:47" x14ac:dyDescent="0.2">
      <c r="C85" s="238">
        <v>1</v>
      </c>
      <c r="D85" s="12" t="s">
        <v>87</v>
      </c>
      <c r="E85" s="12" t="s">
        <v>88</v>
      </c>
      <c r="F85" s="12" t="s">
        <v>87</v>
      </c>
    </row>
    <row r="86" spans="2:47" x14ac:dyDescent="0.2">
      <c r="C86" s="238">
        <v>2</v>
      </c>
      <c r="D86" s="12" t="s">
        <v>89</v>
      </c>
      <c r="E86" s="12" t="s">
        <v>90</v>
      </c>
      <c r="F86" s="12" t="s">
        <v>89</v>
      </c>
    </row>
    <row r="87" spans="2:47" x14ac:dyDescent="0.2">
      <c r="C87" s="238">
        <v>3</v>
      </c>
      <c r="D87" s="12" t="s">
        <v>91</v>
      </c>
      <c r="E87" s="12" t="s">
        <v>92</v>
      </c>
      <c r="F87" s="12" t="s">
        <v>91</v>
      </c>
    </row>
    <row r="88" spans="2:47" x14ac:dyDescent="0.2">
      <c r="C88" s="238">
        <v>4</v>
      </c>
      <c r="D88" s="12" t="s">
        <v>93</v>
      </c>
      <c r="E88" s="12" t="s">
        <v>94</v>
      </c>
      <c r="F88" s="12" t="s">
        <v>93</v>
      </c>
    </row>
    <row r="89" spans="2:47" x14ac:dyDescent="0.2">
      <c r="C89" s="238">
        <v>5</v>
      </c>
      <c r="D89" s="12" t="s">
        <v>95</v>
      </c>
      <c r="E89" s="12" t="s">
        <v>72</v>
      </c>
      <c r="F89" s="12" t="s">
        <v>95</v>
      </c>
    </row>
    <row r="90" spans="2:47" x14ac:dyDescent="0.2">
      <c r="C90" s="238">
        <v>6</v>
      </c>
      <c r="D90" s="12" t="s">
        <v>96</v>
      </c>
      <c r="E90" s="12" t="s">
        <v>97</v>
      </c>
      <c r="F90" s="12" t="s">
        <v>96</v>
      </c>
    </row>
    <row r="91" spans="2:47" x14ac:dyDescent="0.2">
      <c r="C91" s="238">
        <v>7</v>
      </c>
      <c r="D91" s="12" t="s">
        <v>98</v>
      </c>
      <c r="E91" s="12" t="s">
        <v>99</v>
      </c>
      <c r="F91" s="12" t="s">
        <v>98</v>
      </c>
    </row>
    <row r="92" spans="2:47" x14ac:dyDescent="0.2">
      <c r="C92" s="238">
        <v>8</v>
      </c>
      <c r="D92" s="12" t="s">
        <v>100</v>
      </c>
      <c r="E92" s="12" t="s">
        <v>101</v>
      </c>
      <c r="F92" s="12" t="s">
        <v>100</v>
      </c>
    </row>
    <row r="93" spans="2:47" x14ac:dyDescent="0.2">
      <c r="C93" s="238">
        <v>9</v>
      </c>
      <c r="D93" s="12" t="s">
        <v>102</v>
      </c>
      <c r="E93" s="12" t="s">
        <v>103</v>
      </c>
      <c r="F93" s="12" t="s">
        <v>102</v>
      </c>
    </row>
    <row r="94" spans="2:47" x14ac:dyDescent="0.2">
      <c r="C94" s="238">
        <v>10</v>
      </c>
      <c r="D94" s="12" t="s">
        <v>104</v>
      </c>
      <c r="E94" s="12" t="s">
        <v>105</v>
      </c>
      <c r="F94" s="12" t="s">
        <v>104</v>
      </c>
    </row>
    <row r="95" spans="2:47" x14ac:dyDescent="0.2">
      <c r="C95" s="238">
        <v>11</v>
      </c>
      <c r="D95" s="12" t="s">
        <v>106</v>
      </c>
      <c r="E95" s="12" t="s">
        <v>107</v>
      </c>
      <c r="F95" s="12" t="s">
        <v>106</v>
      </c>
    </row>
    <row r="96" spans="2:47" x14ac:dyDescent="0.2">
      <c r="C96" s="238">
        <v>12</v>
      </c>
      <c r="D96" s="12" t="s">
        <v>108</v>
      </c>
      <c r="E96" s="12" t="s">
        <v>109</v>
      </c>
      <c r="F96" s="12" t="s">
        <v>108</v>
      </c>
    </row>
    <row r="104" spans="2:21" ht="15.75" x14ac:dyDescent="0.2">
      <c r="B104" s="655" t="s">
        <v>110</v>
      </c>
      <c r="C104" s="655"/>
      <c r="D104" s="655"/>
      <c r="E104" s="655"/>
      <c r="F104" s="655"/>
      <c r="G104" s="655"/>
      <c r="H104" s="655"/>
      <c r="I104" s="655"/>
      <c r="J104" s="655"/>
      <c r="K104" s="655"/>
      <c r="L104" s="655"/>
      <c r="M104" s="655"/>
      <c r="N104" s="655"/>
      <c r="O104" s="655"/>
      <c r="P104" s="655"/>
      <c r="Q104" s="655"/>
      <c r="R104" s="655"/>
      <c r="S104" s="655"/>
      <c r="T104" s="655"/>
      <c r="U104" s="655"/>
    </row>
    <row r="105" spans="2:21" x14ac:dyDescent="0.2">
      <c r="B105" s="103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</row>
    <row r="106" spans="2:21" x14ac:dyDescent="0.2">
      <c r="C106" s="446" t="s">
        <v>111</v>
      </c>
      <c r="D106" s="446"/>
      <c r="E106" s="446" t="s">
        <v>112</v>
      </c>
      <c r="F106" s="447" t="s">
        <v>113</v>
      </c>
    </row>
  </sheetData>
  <sheetProtection algorithmName="SHA-512" hashValue="mgBsGEzbHCcTnQBHSYFL5oRibvBU9GMzJ8NSmosDW2wFHLPtKTI+Eo6bPPzuxOK4bwT8IljpGWP2lRCVh939lw==" saltValue="tJIcko1neVjymBxsho9HVA==" spinCount="100000" sheet="1" objects="1" scenarios="1"/>
  <mergeCells count="22">
    <mergeCell ref="N6:O6"/>
    <mergeCell ref="F10:J10"/>
    <mergeCell ref="F11:O11"/>
    <mergeCell ref="AQ83:AU83"/>
    <mergeCell ref="B14:U14"/>
    <mergeCell ref="B81:M81"/>
    <mergeCell ref="B104:U104"/>
    <mergeCell ref="B4:D4"/>
    <mergeCell ref="E4:F4"/>
    <mergeCell ref="H4:I4"/>
    <mergeCell ref="J4:K4"/>
    <mergeCell ref="N4:O4"/>
    <mergeCell ref="P4:Q4"/>
    <mergeCell ref="B58:U58"/>
    <mergeCell ref="B9:E9"/>
    <mergeCell ref="B10:E10"/>
    <mergeCell ref="B11:E11"/>
    <mergeCell ref="F9:O9"/>
    <mergeCell ref="M10:O10"/>
    <mergeCell ref="N5:O5"/>
    <mergeCell ref="P5:Q5"/>
    <mergeCell ref="K10:L10"/>
  </mergeCells>
  <dataValidations count="1">
    <dataValidation type="list" showErrorMessage="1" sqref="P4:Q4" xr:uid="{9574C9EE-52A2-4DA2-85B4-EB9923CF083B}">
      <formula1>"ja,nein,BDay"</formula1>
    </dataValidation>
  </dataValidations>
  <pageMargins left="0.7" right="0.7" top="0.78740157499999996" bottom="0.78740157499999996" header="0.3" footer="0.3"/>
  <pageSetup paperSize="9" orientation="portrait" r:id="rId1"/>
  <ignoredErrors>
    <ignoredError sqref="V72:V74 P72:P73 O72:O73 W72:W74" evalError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BAF70-268F-4CE1-9B79-E4B800E13BFD}">
  <sheetPr codeName="sys2">
    <tabColor theme="0" tint="-4.9989318521683403E-2"/>
  </sheetPr>
  <dimension ref="A2:AE393"/>
  <sheetViews>
    <sheetView zoomScale="80" zoomScaleNormal="80" workbookViewId="0">
      <pane ySplit="9" topLeftCell="A10" activePane="bottomLeft" state="frozen"/>
      <selection activeCell="G3" sqref="G3:O3"/>
      <selection pane="bottomLeft" activeCell="Z24" sqref="Z24"/>
    </sheetView>
  </sheetViews>
  <sheetFormatPr baseColWidth="10" defaultColWidth="10.85546875" defaultRowHeight="12.75" x14ac:dyDescent="0.2"/>
  <cols>
    <col min="1" max="2" width="3.140625" style="213" customWidth="1"/>
    <col min="3" max="3" width="9.140625" style="128" bestFit="1" customWidth="1"/>
    <col min="4" max="4" width="12.42578125" style="185" customWidth="1"/>
    <col min="5" max="5" width="11.7109375" style="128" customWidth="1"/>
    <col min="6" max="6" width="9.140625" style="128" customWidth="1"/>
    <col min="7" max="7" width="11.42578125" style="128" customWidth="1"/>
    <col min="8" max="11" width="10.85546875" style="128"/>
    <col min="12" max="12" width="11.140625" style="185" customWidth="1"/>
    <col min="13" max="13" width="10.7109375" style="185" customWidth="1"/>
    <col min="14" max="14" width="13.42578125" style="128" customWidth="1"/>
    <col min="15" max="15" width="12.85546875" style="185" customWidth="1"/>
    <col min="16" max="17" width="10.85546875" style="185"/>
    <col min="18" max="18" width="11.140625" style="185" customWidth="1"/>
    <col min="19" max="21" width="10.85546875" style="185"/>
    <col min="22" max="31" width="10.85546875" style="128"/>
    <col min="32" max="16384" width="10.85546875" style="185"/>
  </cols>
  <sheetData>
    <row r="2" spans="3:31" s="184" customFormat="1" ht="32.1" customHeight="1" thickBot="1" x14ac:dyDescent="0.25">
      <c r="C2" s="207" t="s">
        <v>114</v>
      </c>
      <c r="D2" s="208"/>
      <c r="E2" s="209"/>
      <c r="F2" s="208">
        <f>IF(AC2,AC2,A_Jahr)</f>
        <v>2026</v>
      </c>
      <c r="G2" s="210"/>
      <c r="H2" s="211" t="str">
        <f>IF(ISERROR(DATEVALUE(TEXT("01.01."&amp;F2,"TT.MM.JJ"))),"01/01/"&amp;F2,"01.01."&amp;F2)</f>
        <v>01.01.2026</v>
      </c>
      <c r="I2" s="212">
        <f>DATE(YEAR($H$2),MONTH($H$2),DAY($H$2))</f>
        <v>46023</v>
      </c>
      <c r="J2" s="210"/>
      <c r="K2" s="211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1"/>
      <c r="W2" s="211"/>
      <c r="X2" s="211"/>
      <c r="Y2" s="211"/>
      <c r="Z2" s="280" t="s">
        <v>115</v>
      </c>
      <c r="AA2" s="281"/>
      <c r="AB2" s="282" t="s">
        <v>116</v>
      </c>
      <c r="AC2" s="742"/>
      <c r="AD2" s="742"/>
      <c r="AE2" s="281"/>
    </row>
    <row r="3" spans="3:31" s="217" customFormat="1" ht="15" customHeight="1" x14ac:dyDescent="0.2">
      <c r="C3" s="728" t="s">
        <v>117</v>
      </c>
      <c r="D3" s="728"/>
      <c r="E3" s="218">
        <f>A_fldSollTagStd</f>
        <v>8</v>
      </c>
      <c r="F3" s="219" t="s">
        <v>118</v>
      </c>
      <c r="G3" s="220"/>
      <c r="H3" s="728" t="s">
        <v>119</v>
      </c>
      <c r="I3" s="728"/>
      <c r="J3" s="221">
        <f>A_fldNettoAT</f>
        <v>261</v>
      </c>
      <c r="K3" s="219" t="s">
        <v>8</v>
      </c>
      <c r="L3" s="223" t="s">
        <v>120</v>
      </c>
      <c r="M3" s="732" t="s">
        <v>121</v>
      </c>
      <c r="N3" s="732"/>
      <c r="O3" s="221">
        <f>$E$3*$J$3</f>
        <v>2088</v>
      </c>
      <c r="P3" s="219" t="s">
        <v>122</v>
      </c>
      <c r="Q3" s="222"/>
      <c r="R3" s="222"/>
      <c r="S3" s="222"/>
      <c r="T3" s="222"/>
      <c r="U3" s="222"/>
      <c r="V3" s="221"/>
      <c r="W3" s="221"/>
      <c r="X3" s="221"/>
      <c r="Y3" s="221"/>
      <c r="Z3" s="221"/>
      <c r="AA3" s="221"/>
      <c r="AB3" s="221"/>
      <c r="AC3" s="221"/>
      <c r="AD3" s="221"/>
      <c r="AE3" s="221"/>
    </row>
    <row r="4" spans="3:31" s="214" customFormat="1" x14ac:dyDescent="0.2">
      <c r="C4" s="234"/>
      <c r="D4" s="235"/>
      <c r="E4" s="235"/>
      <c r="F4" s="235"/>
      <c r="G4" s="236"/>
      <c r="H4" s="235"/>
      <c r="I4" s="235"/>
      <c r="J4" s="235"/>
      <c r="K4" s="235"/>
      <c r="L4" s="223" t="s">
        <v>120</v>
      </c>
      <c r="M4" s="732" t="s">
        <v>123</v>
      </c>
      <c r="N4" s="732"/>
      <c r="O4" s="237">
        <f>SUM(H_dSollBG)</f>
        <v>2088</v>
      </c>
      <c r="P4" s="234" t="s">
        <v>122</v>
      </c>
      <c r="Q4" s="235"/>
      <c r="R4" s="235"/>
      <c r="S4" s="235"/>
      <c r="T4" s="235"/>
      <c r="U4" s="235"/>
      <c r="V4" s="237"/>
      <c r="W4" s="237"/>
      <c r="X4" s="237"/>
      <c r="Y4" s="237"/>
      <c r="Z4" s="558" t="s">
        <v>744</v>
      </c>
      <c r="AA4" s="237"/>
      <c r="AB4" s="237"/>
      <c r="AC4" s="237"/>
      <c r="AD4" s="237"/>
      <c r="AE4" s="237"/>
    </row>
    <row r="5" spans="3:31" s="214" customFormat="1" x14ac:dyDescent="0.2">
      <c r="C5" s="206"/>
      <c r="G5" s="215"/>
      <c r="N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</row>
    <row r="6" spans="3:31" s="214" customFormat="1" x14ac:dyDescent="0.2">
      <c r="C6" s="206"/>
      <c r="G6" s="215"/>
      <c r="N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</row>
    <row r="7" spans="3:31" s="214" customFormat="1" x14ac:dyDescent="0.2">
      <c r="C7" s="206"/>
      <c r="G7" s="215"/>
      <c r="L7" s="547"/>
      <c r="M7" s="547"/>
      <c r="N7" s="128"/>
      <c r="S7" s="547"/>
      <c r="T7" s="547"/>
      <c r="V7" s="128"/>
      <c r="W7" s="128"/>
      <c r="X7" s="128"/>
      <c r="Y7" s="128"/>
      <c r="Z7" s="128"/>
      <c r="AA7" s="128"/>
      <c r="AB7" s="128"/>
      <c r="AC7" s="128"/>
      <c r="AD7" s="128"/>
      <c r="AE7" s="128"/>
    </row>
    <row r="8" spans="3:31" s="214" customFormat="1" x14ac:dyDescent="0.2"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  <c r="Z8" s="255"/>
      <c r="AA8" s="255"/>
      <c r="AB8" s="255"/>
      <c r="AC8" s="255"/>
      <c r="AD8" s="255"/>
      <c r="AE8" s="255"/>
    </row>
    <row r="9" spans="3:31" s="194" customFormat="1" ht="45.6" customHeight="1" x14ac:dyDescent="0.2">
      <c r="C9" s="224" t="s">
        <v>124</v>
      </c>
      <c r="D9" s="225" t="s">
        <v>125</v>
      </c>
      <c r="E9" s="224" t="s">
        <v>126</v>
      </c>
      <c r="F9" s="224" t="s">
        <v>85</v>
      </c>
      <c r="G9" s="224" t="s">
        <v>127</v>
      </c>
      <c r="H9" s="224" t="s">
        <v>128</v>
      </c>
      <c r="I9" s="224" t="s">
        <v>129</v>
      </c>
      <c r="J9" s="224" t="s">
        <v>81</v>
      </c>
      <c r="K9" s="224" t="s">
        <v>130</v>
      </c>
      <c r="L9" s="224" t="s">
        <v>131</v>
      </c>
      <c r="M9" s="224" t="s">
        <v>132</v>
      </c>
      <c r="N9" s="226" t="s">
        <v>133</v>
      </c>
      <c r="O9" s="226" t="s">
        <v>134</v>
      </c>
      <c r="P9" s="226" t="s">
        <v>135</v>
      </c>
      <c r="Q9" s="226" t="s">
        <v>136</v>
      </c>
      <c r="R9" s="226" t="s">
        <v>137</v>
      </c>
      <c r="S9" s="226" t="s">
        <v>138</v>
      </c>
      <c r="T9" s="226" t="s">
        <v>139</v>
      </c>
      <c r="U9" s="226" t="s">
        <v>140</v>
      </c>
      <c r="V9" s="226" t="s">
        <v>141</v>
      </c>
      <c r="W9" s="226" t="s">
        <v>142</v>
      </c>
      <c r="X9" s="226" t="s">
        <v>829</v>
      </c>
      <c r="Y9" s="226" t="s">
        <v>865</v>
      </c>
      <c r="Z9" s="226" t="s">
        <v>143</v>
      </c>
      <c r="AA9" s="226" t="s">
        <v>144</v>
      </c>
      <c r="AB9" s="226" t="s">
        <v>145</v>
      </c>
      <c r="AC9" s="226" t="s">
        <v>146</v>
      </c>
      <c r="AD9" s="226" t="s">
        <v>147</v>
      </c>
      <c r="AE9" s="226" t="s">
        <v>148</v>
      </c>
    </row>
    <row r="10" spans="3:31" x14ac:dyDescent="0.2">
      <c r="C10" s="128">
        <v>1</v>
      </c>
      <c r="D10" s="186">
        <f>I2</f>
        <v>46023</v>
      </c>
      <c r="E10" s="128">
        <f>MONTH(D10)</f>
        <v>1</v>
      </c>
      <c r="F10" s="187">
        <f>D10</f>
        <v>46023</v>
      </c>
      <c r="G10" s="128">
        <f>_xlfn.ISOWEEKNUM(D10)</f>
        <v>1</v>
      </c>
      <c r="H10" s="128">
        <f>DAY(D10)</f>
        <v>1</v>
      </c>
      <c r="I10" s="128">
        <f>WEEKDAY(D10,2)</f>
        <v>4</v>
      </c>
      <c r="J10" s="188">
        <f>D10</f>
        <v>46023</v>
      </c>
      <c r="K10" s="128" t="str" cm="1">
        <f t="array" ref="K10">IF(AND(I10&lt;7,INDEX(B_tblFTMatrix,$E10,$H10)="x"),"ft","")</f>
        <v>ft</v>
      </c>
      <c r="L10" s="216"/>
      <c r="M10" s="128"/>
      <c r="N10" s="128">
        <f t="shared" ref="N10:N73" si="0">IF(I10&lt;6,1,0)</f>
        <v>1</v>
      </c>
      <c r="O10" s="128">
        <f>IF(AND(L10&lt;&gt;"x",N10),1,0)</f>
        <v>1</v>
      </c>
      <c r="P10" s="227">
        <f t="shared" ref="P10:P73" si="1">IFERROR($E$3*N10,0)</f>
        <v>8</v>
      </c>
      <c r="Q10" s="228" cm="1">
        <f t="array" ref="Q10">SUMPRODUCT((H_tblBGTage=I10)*(H_tblBGMnt=E10)*H_tblBG%)</f>
        <v>1</v>
      </c>
      <c r="R10" s="227">
        <f>IFERROR(P10*Q10,0)</f>
        <v>8</v>
      </c>
      <c r="S10" s="233"/>
      <c r="T10" s="233"/>
      <c r="U10" s="232" cm="1">
        <f t="array" ref="U10">SUMPRODUCT((JAN!M_Verweiszeile=$H10)*JAN!M_ProdTag*(JAN!M_Monat=$E10))</f>
        <v>0</v>
      </c>
      <c r="V10" s="232" cm="1">
        <f t="array" ref="V10">SUMPRODUCT((JAN!M_Verweiszeile=$H10)*JAN!M_ProdN1*(JAN!M_Monat=$E10))</f>
        <v>0</v>
      </c>
      <c r="W10" s="232" cm="1">
        <f t="array" ref="W10">SUMPRODUCT((JAN!M_Verweiszeile=$H10)*JAN!M_ProdN2*(JAN!M_Monat=$E10))</f>
        <v>0</v>
      </c>
      <c r="X10" s="232" cm="1">
        <f t="array" ref="X10">SUMPRODUCT((JAN!M_Verweiszeile=$H10)*JAN!M_Reise*(JAN!M_Monat=$E10))</f>
        <v>0</v>
      </c>
      <c r="Y10" s="232" cm="1">
        <f t="array" ref="Y10">SUMPRODUCT((JAN!M_Verweiszeile=$H10)*JAN!M_Reiseabzug*(JAN!M_Monat=$E10))</f>
        <v>0</v>
      </c>
      <c r="Z10" s="232">
        <f>SUM(U10:X10)-Y10</f>
        <v>0</v>
      </c>
      <c r="AA10" s="232">
        <f t="shared" ref="AA10:AA73" si="2">IFERROR(IF($K10="ft",R10,0),0)</f>
        <v>8</v>
      </c>
      <c r="AB10" s="283">
        <f t="shared" ref="AB10:AB73" si="3">SUM(V10:W10)*A_fldZ2</f>
        <v>0</v>
      </c>
      <c r="AC10" s="232">
        <f>IF(OR(I10=7,K10="ft"),U10,0)</f>
        <v>0</v>
      </c>
      <c r="AD10" s="232">
        <f>SUM(AA10:AC10)</f>
        <v>8</v>
      </c>
      <c r="AE10" s="232">
        <f>Z10+AD10</f>
        <v>8</v>
      </c>
    </row>
    <row r="11" spans="3:31" x14ac:dyDescent="0.2">
      <c r="C11" s="128">
        <v>2</v>
      </c>
      <c r="D11" s="186">
        <f>D10+1</f>
        <v>46024</v>
      </c>
      <c r="E11" s="128">
        <f t="shared" ref="E11:E74" si="4">MONTH(D11)</f>
        <v>1</v>
      </c>
      <c r="F11" s="187">
        <f t="shared" ref="F11:F74" si="5">D11</f>
        <v>46024</v>
      </c>
      <c r="G11" s="128">
        <f t="shared" ref="G11:G74" si="6">_xlfn.ISOWEEKNUM(D11)</f>
        <v>1</v>
      </c>
      <c r="H11" s="128">
        <f t="shared" ref="H11:H74" si="7">DAY(D11)</f>
        <v>2</v>
      </c>
      <c r="I11" s="128">
        <f t="shared" ref="I11:I74" si="8">WEEKDAY(D11,2)</f>
        <v>5</v>
      </c>
      <c r="J11" s="188">
        <f t="shared" ref="J11:J74" si="9">D11</f>
        <v>46024</v>
      </c>
      <c r="K11" s="128" t="str" cm="1">
        <f t="array" ref="K11">IF(AND(I11&lt;7,INDEX(B_tblFTMatrix,$E11,$H11)="x"),"ft","")</f>
        <v>ft</v>
      </c>
      <c r="L11" s="128"/>
      <c r="M11" s="128"/>
      <c r="N11" s="128">
        <f t="shared" si="0"/>
        <v>1</v>
      </c>
      <c r="O11" s="128">
        <f t="shared" ref="O11:O74" si="10">IF(AND(L11&lt;&gt;"x",N11),1,0)</f>
        <v>1</v>
      </c>
      <c r="P11" s="227">
        <f t="shared" si="1"/>
        <v>8</v>
      </c>
      <c r="Q11" s="228" cm="1">
        <f t="array" ref="Q11">SUMPRODUCT((H_tblBGTage=I11)*(H_tblBGMnt=E11)*H_tblBG%)</f>
        <v>1</v>
      </c>
      <c r="R11" s="227">
        <f t="shared" ref="R11:R74" si="11">IFERROR(P11*Q11,0)</f>
        <v>8</v>
      </c>
      <c r="S11" s="233"/>
      <c r="T11" s="233"/>
      <c r="U11" s="232" cm="1">
        <f t="array" ref="U11">SUMPRODUCT((JAN!M_Verweiszeile=$H11)*JAN!M_ProdTag*(JAN!M_Monat=$E11))</f>
        <v>0</v>
      </c>
      <c r="V11" s="232" cm="1">
        <f t="array" ref="V11">SUMPRODUCT((JAN!M_Verweiszeile=$H11)*JAN!M_ProdN1*(JAN!M_Monat=$E11))</f>
        <v>0</v>
      </c>
      <c r="W11" s="232" cm="1">
        <f t="array" ref="W11">SUMPRODUCT((JAN!M_Verweiszeile=$H11)*JAN!M_ProdN2*(JAN!M_Monat=$E11))</f>
        <v>0</v>
      </c>
      <c r="X11" s="232" cm="1">
        <f t="array" ref="X11">SUMPRODUCT((JAN!M_Verweiszeile=$H11)*JAN!M_Reise*(JAN!M_Monat=$E11))</f>
        <v>0</v>
      </c>
      <c r="Y11" s="232" cm="1">
        <f t="array" ref="Y11">SUMPRODUCT((JAN!M_Verweiszeile=$H11)*JAN!M_Reiseabzug*(JAN!M_Monat=$E11))</f>
        <v>0</v>
      </c>
      <c r="Z11" s="232">
        <f t="shared" ref="Z11:Z74" si="12">SUM(U11:X11)-Y11</f>
        <v>0</v>
      </c>
      <c r="AA11" s="232">
        <f t="shared" si="2"/>
        <v>8</v>
      </c>
      <c r="AB11" s="232">
        <f t="shared" si="3"/>
        <v>0</v>
      </c>
      <c r="AC11" s="232">
        <f t="shared" ref="AC11:AC74" si="13">IF(OR(I11=7,K11="ft"),U11,0)</f>
        <v>0</v>
      </c>
      <c r="AD11" s="232">
        <f t="shared" ref="AD11:AD74" si="14">SUM(AA11:AC11)</f>
        <v>8</v>
      </c>
      <c r="AE11" s="232">
        <f t="shared" ref="AE11:AE74" si="15">Z11+AD11</f>
        <v>8</v>
      </c>
    </row>
    <row r="12" spans="3:31" x14ac:dyDescent="0.2">
      <c r="C12" s="128">
        <v>3</v>
      </c>
      <c r="D12" s="186">
        <f t="shared" ref="D12:D75" si="16">D11+1</f>
        <v>46025</v>
      </c>
      <c r="E12" s="128">
        <f t="shared" si="4"/>
        <v>1</v>
      </c>
      <c r="F12" s="187">
        <f t="shared" si="5"/>
        <v>46025</v>
      </c>
      <c r="G12" s="128">
        <f t="shared" si="6"/>
        <v>1</v>
      </c>
      <c r="H12" s="128">
        <f t="shared" si="7"/>
        <v>3</v>
      </c>
      <c r="I12" s="128">
        <f t="shared" si="8"/>
        <v>6</v>
      </c>
      <c r="J12" s="188">
        <f t="shared" si="9"/>
        <v>46025</v>
      </c>
      <c r="K12" s="128" t="str" cm="1">
        <f t="array" ref="K12">IF(AND(I12&lt;7,INDEX(B_tblFTMatrix,$E12,$H12)="x"),"ft","")</f>
        <v/>
      </c>
      <c r="L12" s="128"/>
      <c r="M12" s="128"/>
      <c r="N12" s="128">
        <f t="shared" si="0"/>
        <v>0</v>
      </c>
      <c r="O12" s="128">
        <f t="shared" si="10"/>
        <v>0</v>
      </c>
      <c r="P12" s="227">
        <f t="shared" si="1"/>
        <v>0</v>
      </c>
      <c r="Q12" s="228" cm="1">
        <f t="array" ref="Q12">SUMPRODUCT((H_tblBGTage=I12)*(H_tblBGMnt=E12)*H_tblBG%)</f>
        <v>0</v>
      </c>
      <c r="R12" s="227">
        <f t="shared" si="11"/>
        <v>0</v>
      </c>
      <c r="S12" s="233"/>
      <c r="T12" s="233"/>
      <c r="U12" s="232" cm="1">
        <f t="array" ref="U12">SUMPRODUCT((JAN!M_Verweiszeile=$H12)*JAN!M_ProdTag*(JAN!M_Monat=$E12))</f>
        <v>0</v>
      </c>
      <c r="V12" s="232" cm="1">
        <f t="array" ref="V12">SUMPRODUCT((JAN!M_Verweiszeile=$H12)*JAN!M_ProdN1*(JAN!M_Monat=$E12))</f>
        <v>0</v>
      </c>
      <c r="W12" s="232" cm="1">
        <f t="array" ref="W12">SUMPRODUCT((JAN!M_Verweiszeile=$H12)*JAN!M_ProdN2*(JAN!M_Monat=$E12))</f>
        <v>0</v>
      </c>
      <c r="X12" s="232" cm="1">
        <f t="array" ref="X12">SUMPRODUCT((JAN!M_Verweiszeile=$H12)*JAN!M_Reise*(JAN!M_Monat=$E12))</f>
        <v>0</v>
      </c>
      <c r="Y12" s="232" cm="1">
        <f t="array" ref="Y12">SUMPRODUCT((JAN!M_Verweiszeile=$H12)*JAN!M_Reiseabzug*(JAN!M_Monat=$E12))</f>
        <v>0</v>
      </c>
      <c r="Z12" s="232">
        <f t="shared" si="12"/>
        <v>0</v>
      </c>
      <c r="AA12" s="232">
        <f t="shared" si="2"/>
        <v>0</v>
      </c>
      <c r="AB12" s="232">
        <f t="shared" si="3"/>
        <v>0</v>
      </c>
      <c r="AC12" s="232">
        <f t="shared" si="13"/>
        <v>0</v>
      </c>
      <c r="AD12" s="232">
        <f t="shared" si="14"/>
        <v>0</v>
      </c>
      <c r="AE12" s="232">
        <f t="shared" si="15"/>
        <v>0</v>
      </c>
    </row>
    <row r="13" spans="3:31" x14ac:dyDescent="0.2">
      <c r="C13" s="128">
        <v>4</v>
      </c>
      <c r="D13" s="186">
        <f t="shared" si="16"/>
        <v>46026</v>
      </c>
      <c r="E13" s="128">
        <f t="shared" si="4"/>
        <v>1</v>
      </c>
      <c r="F13" s="187">
        <f t="shared" si="5"/>
        <v>46026</v>
      </c>
      <c r="G13" s="128">
        <f t="shared" si="6"/>
        <v>1</v>
      </c>
      <c r="H13" s="128">
        <f t="shared" si="7"/>
        <v>4</v>
      </c>
      <c r="I13" s="128">
        <f t="shared" si="8"/>
        <v>7</v>
      </c>
      <c r="J13" s="188">
        <f t="shared" si="9"/>
        <v>46026</v>
      </c>
      <c r="K13" s="128" t="str" cm="1">
        <f t="array" ref="K13">IF(AND(I13&lt;7,INDEX(B_tblFTMatrix,$E13,$H13)="x"),"ft","")</f>
        <v/>
      </c>
      <c r="L13" s="128"/>
      <c r="M13" s="128"/>
      <c r="N13" s="128">
        <f t="shared" si="0"/>
        <v>0</v>
      </c>
      <c r="O13" s="128">
        <f t="shared" si="10"/>
        <v>0</v>
      </c>
      <c r="P13" s="227">
        <f t="shared" si="1"/>
        <v>0</v>
      </c>
      <c r="Q13" s="228" cm="1">
        <f t="array" ref="Q13">SUMPRODUCT((H_tblBGTage=I13)*(H_tblBGMnt=E13)*H_tblBG%)</f>
        <v>0</v>
      </c>
      <c r="R13" s="227">
        <f t="shared" si="11"/>
        <v>0</v>
      </c>
      <c r="S13" s="233"/>
      <c r="T13" s="233"/>
      <c r="U13" s="232" cm="1">
        <f t="array" ref="U13">SUMPRODUCT((JAN!M_Verweiszeile=$H13)*JAN!M_ProdTag*(JAN!M_Monat=$E13))</f>
        <v>0</v>
      </c>
      <c r="V13" s="232" cm="1">
        <f t="array" ref="V13">SUMPRODUCT((JAN!M_Verweiszeile=$H13)*JAN!M_ProdN1*(JAN!M_Monat=$E13))</f>
        <v>0</v>
      </c>
      <c r="W13" s="232" cm="1">
        <f t="array" ref="W13">SUMPRODUCT((JAN!M_Verweiszeile=$H13)*JAN!M_ProdN2*(JAN!M_Monat=$E13))</f>
        <v>0</v>
      </c>
      <c r="X13" s="232" cm="1">
        <f t="array" ref="X13">SUMPRODUCT((JAN!M_Verweiszeile=$H13)*JAN!M_Reise*(JAN!M_Monat=$E13))</f>
        <v>0</v>
      </c>
      <c r="Y13" s="232" cm="1">
        <f t="array" ref="Y13">SUMPRODUCT((JAN!M_Verweiszeile=$H13)*JAN!M_Reiseabzug*(JAN!M_Monat=$E13))</f>
        <v>0</v>
      </c>
      <c r="Z13" s="232">
        <f t="shared" si="12"/>
        <v>0</v>
      </c>
      <c r="AA13" s="232">
        <f t="shared" si="2"/>
        <v>0</v>
      </c>
      <c r="AB13" s="232">
        <f t="shared" si="3"/>
        <v>0</v>
      </c>
      <c r="AC13" s="232">
        <f t="shared" si="13"/>
        <v>0</v>
      </c>
      <c r="AD13" s="232">
        <f t="shared" si="14"/>
        <v>0</v>
      </c>
      <c r="AE13" s="232">
        <f t="shared" si="15"/>
        <v>0</v>
      </c>
    </row>
    <row r="14" spans="3:31" x14ac:dyDescent="0.2">
      <c r="C14" s="128">
        <v>5</v>
      </c>
      <c r="D14" s="186">
        <f t="shared" si="16"/>
        <v>46027</v>
      </c>
      <c r="E14" s="128">
        <f t="shared" si="4"/>
        <v>1</v>
      </c>
      <c r="F14" s="187">
        <f t="shared" si="5"/>
        <v>46027</v>
      </c>
      <c r="G14" s="128">
        <f t="shared" si="6"/>
        <v>2</v>
      </c>
      <c r="H14" s="128">
        <f t="shared" si="7"/>
        <v>5</v>
      </c>
      <c r="I14" s="128">
        <f t="shared" si="8"/>
        <v>1</v>
      </c>
      <c r="J14" s="188">
        <f t="shared" si="9"/>
        <v>46027</v>
      </c>
      <c r="K14" s="128" t="str" cm="1">
        <f t="array" ref="K14">IF(AND(I14&lt;7,INDEX(B_tblFTMatrix,$E14,$H14)="x"),"ft","")</f>
        <v/>
      </c>
      <c r="L14" s="128"/>
      <c r="M14" s="128"/>
      <c r="N14" s="128">
        <f t="shared" si="0"/>
        <v>1</v>
      </c>
      <c r="O14" s="128">
        <f t="shared" si="10"/>
        <v>1</v>
      </c>
      <c r="P14" s="227">
        <f t="shared" si="1"/>
        <v>8</v>
      </c>
      <c r="Q14" s="228" cm="1">
        <f t="array" ref="Q14">SUMPRODUCT((H_tblBGTage=I14)*(H_tblBGMnt=E14)*H_tblBG%)</f>
        <v>1</v>
      </c>
      <c r="R14" s="227">
        <f t="shared" si="11"/>
        <v>8</v>
      </c>
      <c r="S14" s="233"/>
      <c r="T14" s="233"/>
      <c r="U14" s="232" cm="1">
        <f t="array" ref="U14">SUMPRODUCT((JAN!M_Verweiszeile=$H14)*JAN!M_ProdTag*(JAN!M_Monat=$E14))</f>
        <v>0</v>
      </c>
      <c r="V14" s="232" cm="1">
        <f t="array" ref="V14">SUMPRODUCT((JAN!M_Verweiszeile=$H14)*JAN!M_ProdN1*(JAN!M_Monat=$E14))</f>
        <v>0</v>
      </c>
      <c r="W14" s="232" cm="1">
        <f t="array" ref="W14">SUMPRODUCT((JAN!M_Verweiszeile=$H14)*JAN!M_ProdN2*(JAN!M_Monat=$E14))</f>
        <v>0</v>
      </c>
      <c r="X14" s="232" cm="1">
        <f t="array" ref="X14">SUMPRODUCT((JAN!M_Verweiszeile=$H14)*JAN!M_Reise*(JAN!M_Monat=$E14))</f>
        <v>0</v>
      </c>
      <c r="Y14" s="232" cm="1">
        <f t="array" ref="Y14">SUMPRODUCT((JAN!M_Verweiszeile=$H14)*JAN!M_Reiseabzug*(JAN!M_Monat=$E14))</f>
        <v>0</v>
      </c>
      <c r="Z14" s="232">
        <f t="shared" si="12"/>
        <v>0</v>
      </c>
      <c r="AA14" s="232">
        <f t="shared" si="2"/>
        <v>0</v>
      </c>
      <c r="AB14" s="232">
        <f t="shared" si="3"/>
        <v>0</v>
      </c>
      <c r="AC14" s="232">
        <f t="shared" si="13"/>
        <v>0</v>
      </c>
      <c r="AD14" s="232">
        <f t="shared" si="14"/>
        <v>0</v>
      </c>
      <c r="AE14" s="232">
        <f t="shared" si="15"/>
        <v>0</v>
      </c>
    </row>
    <row r="15" spans="3:31" x14ac:dyDescent="0.2">
      <c r="C15" s="128">
        <v>6</v>
      </c>
      <c r="D15" s="186">
        <f t="shared" si="16"/>
        <v>46028</v>
      </c>
      <c r="E15" s="128">
        <f t="shared" si="4"/>
        <v>1</v>
      </c>
      <c r="F15" s="187">
        <f t="shared" si="5"/>
        <v>46028</v>
      </c>
      <c r="G15" s="128">
        <f t="shared" si="6"/>
        <v>2</v>
      </c>
      <c r="H15" s="128">
        <f t="shared" si="7"/>
        <v>6</v>
      </c>
      <c r="I15" s="128">
        <f t="shared" si="8"/>
        <v>2</v>
      </c>
      <c r="J15" s="188">
        <f t="shared" si="9"/>
        <v>46028</v>
      </c>
      <c r="K15" s="128" t="str" cm="1">
        <f t="array" ref="K15">IF(AND(I15&lt;7,INDEX(B_tblFTMatrix,$E15,$H15)="x"),"ft","")</f>
        <v/>
      </c>
      <c r="L15" s="128"/>
      <c r="M15" s="128"/>
      <c r="N15" s="128">
        <f t="shared" si="0"/>
        <v>1</v>
      </c>
      <c r="O15" s="128">
        <f t="shared" si="10"/>
        <v>1</v>
      </c>
      <c r="P15" s="227">
        <f t="shared" si="1"/>
        <v>8</v>
      </c>
      <c r="Q15" s="228" cm="1">
        <f t="array" ref="Q15">SUMPRODUCT((H_tblBGTage=I15)*(H_tblBGMnt=E15)*H_tblBG%)</f>
        <v>1</v>
      </c>
      <c r="R15" s="227">
        <f t="shared" si="11"/>
        <v>8</v>
      </c>
      <c r="S15" s="233"/>
      <c r="T15" s="233"/>
      <c r="U15" s="232" cm="1">
        <f t="array" ref="U15">SUMPRODUCT((JAN!M_Verweiszeile=$H15)*JAN!M_ProdTag*(JAN!M_Monat=$E15))</f>
        <v>0</v>
      </c>
      <c r="V15" s="232" cm="1">
        <f t="array" ref="V15">SUMPRODUCT((JAN!M_Verweiszeile=$H15)*JAN!M_ProdN1*(JAN!M_Monat=$E15))</f>
        <v>0</v>
      </c>
      <c r="W15" s="232" cm="1">
        <f t="array" ref="W15">SUMPRODUCT((JAN!M_Verweiszeile=$H15)*JAN!M_ProdN2*(JAN!M_Monat=$E15))</f>
        <v>0</v>
      </c>
      <c r="X15" s="232" cm="1">
        <f t="array" ref="X15">SUMPRODUCT((JAN!M_Verweiszeile=$H15)*JAN!M_Reise*(JAN!M_Monat=$E15))</f>
        <v>0</v>
      </c>
      <c r="Y15" s="232" cm="1">
        <f t="array" ref="Y15">SUMPRODUCT((JAN!M_Verweiszeile=$H15)*JAN!M_Reiseabzug*(JAN!M_Monat=$E15))</f>
        <v>0</v>
      </c>
      <c r="Z15" s="232">
        <f t="shared" si="12"/>
        <v>0</v>
      </c>
      <c r="AA15" s="232">
        <f t="shared" si="2"/>
        <v>0</v>
      </c>
      <c r="AB15" s="232">
        <f t="shared" si="3"/>
        <v>0</v>
      </c>
      <c r="AC15" s="232">
        <f t="shared" si="13"/>
        <v>0</v>
      </c>
      <c r="AD15" s="232">
        <f t="shared" si="14"/>
        <v>0</v>
      </c>
      <c r="AE15" s="232">
        <f t="shared" si="15"/>
        <v>0</v>
      </c>
    </row>
    <row r="16" spans="3:31" x14ac:dyDescent="0.2">
      <c r="C16" s="128">
        <v>7</v>
      </c>
      <c r="D16" s="186">
        <f t="shared" si="16"/>
        <v>46029</v>
      </c>
      <c r="E16" s="128">
        <f t="shared" si="4"/>
        <v>1</v>
      </c>
      <c r="F16" s="187">
        <f t="shared" si="5"/>
        <v>46029</v>
      </c>
      <c r="G16" s="128">
        <f t="shared" si="6"/>
        <v>2</v>
      </c>
      <c r="H16" s="128">
        <f t="shared" si="7"/>
        <v>7</v>
      </c>
      <c r="I16" s="128">
        <f t="shared" si="8"/>
        <v>3</v>
      </c>
      <c r="J16" s="188">
        <f t="shared" si="9"/>
        <v>46029</v>
      </c>
      <c r="K16" s="128" t="str" cm="1">
        <f t="array" ref="K16">IF(AND(I16&lt;7,INDEX(B_tblFTMatrix,$E16,$H16)="x"),"ft","")</f>
        <v/>
      </c>
      <c r="L16" s="128"/>
      <c r="M16" s="128"/>
      <c r="N16" s="128">
        <f t="shared" si="0"/>
        <v>1</v>
      </c>
      <c r="O16" s="128">
        <f t="shared" si="10"/>
        <v>1</v>
      </c>
      <c r="P16" s="227">
        <f t="shared" si="1"/>
        <v>8</v>
      </c>
      <c r="Q16" s="228" cm="1">
        <f t="array" ref="Q16">SUMPRODUCT((H_tblBGTage=I16)*(H_tblBGMnt=E16)*H_tblBG%)</f>
        <v>1</v>
      </c>
      <c r="R16" s="227">
        <f t="shared" si="11"/>
        <v>8</v>
      </c>
      <c r="S16" s="233"/>
      <c r="T16" s="233"/>
      <c r="U16" s="232" cm="1">
        <f t="array" ref="U16">SUMPRODUCT((JAN!M_Verweiszeile=$H16)*JAN!M_ProdTag*(JAN!M_Monat=$E16))</f>
        <v>0</v>
      </c>
      <c r="V16" s="232" cm="1">
        <f t="array" ref="V16">SUMPRODUCT((JAN!M_Verweiszeile=$H16)*JAN!M_ProdN1*(JAN!M_Monat=$E16))</f>
        <v>0</v>
      </c>
      <c r="W16" s="232" cm="1">
        <f t="array" ref="W16">SUMPRODUCT((JAN!M_Verweiszeile=$H16)*JAN!M_ProdN2*(JAN!M_Monat=$E16))</f>
        <v>0</v>
      </c>
      <c r="X16" s="232" cm="1">
        <f t="array" ref="X16">SUMPRODUCT((JAN!M_Verweiszeile=$H16)*JAN!M_Reise*(JAN!M_Monat=$E16))</f>
        <v>0</v>
      </c>
      <c r="Y16" s="232" cm="1">
        <f t="array" ref="Y16">SUMPRODUCT((JAN!M_Verweiszeile=$H16)*JAN!M_Reiseabzug*(JAN!M_Monat=$E16))</f>
        <v>0</v>
      </c>
      <c r="Z16" s="232">
        <f t="shared" si="12"/>
        <v>0</v>
      </c>
      <c r="AA16" s="232">
        <f t="shared" si="2"/>
        <v>0</v>
      </c>
      <c r="AB16" s="232">
        <f t="shared" si="3"/>
        <v>0</v>
      </c>
      <c r="AC16" s="232">
        <f t="shared" si="13"/>
        <v>0</v>
      </c>
      <c r="AD16" s="232">
        <f t="shared" si="14"/>
        <v>0</v>
      </c>
      <c r="AE16" s="232">
        <f t="shared" si="15"/>
        <v>0</v>
      </c>
    </row>
    <row r="17" spans="3:31" x14ac:dyDescent="0.2">
      <c r="C17" s="128">
        <v>8</v>
      </c>
      <c r="D17" s="186">
        <f t="shared" si="16"/>
        <v>46030</v>
      </c>
      <c r="E17" s="128">
        <f t="shared" si="4"/>
        <v>1</v>
      </c>
      <c r="F17" s="187">
        <f t="shared" si="5"/>
        <v>46030</v>
      </c>
      <c r="G17" s="128">
        <f t="shared" si="6"/>
        <v>2</v>
      </c>
      <c r="H17" s="128">
        <f t="shared" si="7"/>
        <v>8</v>
      </c>
      <c r="I17" s="128">
        <f t="shared" si="8"/>
        <v>4</v>
      </c>
      <c r="J17" s="188">
        <f t="shared" si="9"/>
        <v>46030</v>
      </c>
      <c r="K17" s="128" t="str" cm="1">
        <f t="array" ref="K17">IF(AND(I17&lt;7,INDEX(B_tblFTMatrix,$E17,$H17)="x"),"ft","")</f>
        <v/>
      </c>
      <c r="L17" s="128"/>
      <c r="M17" s="128"/>
      <c r="N17" s="128">
        <f t="shared" si="0"/>
        <v>1</v>
      </c>
      <c r="O17" s="128">
        <f t="shared" si="10"/>
        <v>1</v>
      </c>
      <c r="P17" s="227">
        <f t="shared" si="1"/>
        <v>8</v>
      </c>
      <c r="Q17" s="228" cm="1">
        <f t="array" ref="Q17">SUMPRODUCT((H_tblBGTage=I17)*(H_tblBGMnt=E17)*H_tblBG%)</f>
        <v>1</v>
      </c>
      <c r="R17" s="227">
        <f t="shared" si="11"/>
        <v>8</v>
      </c>
      <c r="S17" s="233"/>
      <c r="T17" s="233"/>
      <c r="U17" s="232" cm="1">
        <f t="array" ref="U17">SUMPRODUCT((JAN!M_Verweiszeile=$H17)*JAN!M_ProdTag*(JAN!M_Monat=$E17))</f>
        <v>0</v>
      </c>
      <c r="V17" s="232" cm="1">
        <f t="array" ref="V17">SUMPRODUCT((JAN!M_Verweiszeile=$H17)*JAN!M_ProdN1*(JAN!M_Monat=$E17))</f>
        <v>0</v>
      </c>
      <c r="W17" s="232" cm="1">
        <f t="array" ref="W17">SUMPRODUCT((JAN!M_Verweiszeile=$H17)*JAN!M_ProdN2*(JAN!M_Monat=$E17))</f>
        <v>0</v>
      </c>
      <c r="X17" s="232" cm="1">
        <f t="array" ref="X17">SUMPRODUCT((JAN!M_Verweiszeile=$H17)*JAN!M_Reise*(JAN!M_Monat=$E17))</f>
        <v>0</v>
      </c>
      <c r="Y17" s="232" cm="1">
        <f t="array" ref="Y17">SUMPRODUCT((JAN!M_Verweiszeile=$H17)*JAN!M_Reiseabzug*(JAN!M_Monat=$E17))</f>
        <v>0</v>
      </c>
      <c r="Z17" s="232">
        <f t="shared" si="12"/>
        <v>0</v>
      </c>
      <c r="AA17" s="232">
        <f t="shared" si="2"/>
        <v>0</v>
      </c>
      <c r="AB17" s="232">
        <f t="shared" si="3"/>
        <v>0</v>
      </c>
      <c r="AC17" s="232">
        <f t="shared" si="13"/>
        <v>0</v>
      </c>
      <c r="AD17" s="232">
        <f t="shared" si="14"/>
        <v>0</v>
      </c>
      <c r="AE17" s="232">
        <f t="shared" si="15"/>
        <v>0</v>
      </c>
    </row>
    <row r="18" spans="3:31" x14ac:dyDescent="0.2">
      <c r="C18" s="128">
        <v>9</v>
      </c>
      <c r="D18" s="186">
        <f t="shared" si="16"/>
        <v>46031</v>
      </c>
      <c r="E18" s="128">
        <f t="shared" si="4"/>
        <v>1</v>
      </c>
      <c r="F18" s="187">
        <f t="shared" si="5"/>
        <v>46031</v>
      </c>
      <c r="G18" s="128">
        <f t="shared" si="6"/>
        <v>2</v>
      </c>
      <c r="H18" s="128">
        <f t="shared" si="7"/>
        <v>9</v>
      </c>
      <c r="I18" s="128">
        <f t="shared" si="8"/>
        <v>5</v>
      </c>
      <c r="J18" s="188">
        <f t="shared" si="9"/>
        <v>46031</v>
      </c>
      <c r="K18" s="128" t="str" cm="1">
        <f t="array" ref="K18">IF(AND(I18&lt;7,INDEX(B_tblFTMatrix,$E18,$H18)="x"),"ft","")</f>
        <v/>
      </c>
      <c r="L18" s="128"/>
      <c r="M18" s="128"/>
      <c r="N18" s="128">
        <f t="shared" si="0"/>
        <v>1</v>
      </c>
      <c r="O18" s="128">
        <f t="shared" si="10"/>
        <v>1</v>
      </c>
      <c r="P18" s="227">
        <f t="shared" si="1"/>
        <v>8</v>
      </c>
      <c r="Q18" s="228" cm="1">
        <f t="array" ref="Q18">SUMPRODUCT((H_tblBGTage=I18)*(H_tblBGMnt=E18)*H_tblBG%)</f>
        <v>1</v>
      </c>
      <c r="R18" s="227">
        <f t="shared" si="11"/>
        <v>8</v>
      </c>
      <c r="S18" s="233"/>
      <c r="T18" s="233"/>
      <c r="U18" s="232" cm="1">
        <f t="array" ref="U18">SUMPRODUCT((JAN!M_Verweiszeile=$H18)*JAN!M_ProdTag*(JAN!M_Monat=$E18))</f>
        <v>0</v>
      </c>
      <c r="V18" s="232" cm="1">
        <f t="array" ref="V18">SUMPRODUCT((JAN!M_Verweiszeile=$H18)*JAN!M_ProdN1*(JAN!M_Monat=$E18))</f>
        <v>0</v>
      </c>
      <c r="W18" s="232" cm="1">
        <f t="array" ref="W18">SUMPRODUCT((JAN!M_Verweiszeile=$H18)*JAN!M_ProdN2*(JAN!M_Monat=$E18))</f>
        <v>0</v>
      </c>
      <c r="X18" s="232" cm="1">
        <f t="array" ref="X18">SUMPRODUCT((JAN!M_Verweiszeile=$H18)*JAN!M_Reise*(JAN!M_Monat=$E18))</f>
        <v>0</v>
      </c>
      <c r="Y18" s="232" cm="1">
        <f t="array" ref="Y18">SUMPRODUCT((JAN!M_Verweiszeile=$H18)*JAN!M_Reiseabzug*(JAN!M_Monat=$E18))</f>
        <v>0</v>
      </c>
      <c r="Z18" s="232">
        <f t="shared" si="12"/>
        <v>0</v>
      </c>
      <c r="AA18" s="232">
        <f t="shared" si="2"/>
        <v>0</v>
      </c>
      <c r="AB18" s="232">
        <f t="shared" si="3"/>
        <v>0</v>
      </c>
      <c r="AC18" s="232">
        <f t="shared" si="13"/>
        <v>0</v>
      </c>
      <c r="AD18" s="232">
        <f t="shared" si="14"/>
        <v>0</v>
      </c>
      <c r="AE18" s="232">
        <f t="shared" si="15"/>
        <v>0</v>
      </c>
    </row>
    <row r="19" spans="3:31" x14ac:dyDescent="0.2">
      <c r="C19" s="128">
        <v>10</v>
      </c>
      <c r="D19" s="186">
        <f t="shared" si="16"/>
        <v>46032</v>
      </c>
      <c r="E19" s="128">
        <f t="shared" si="4"/>
        <v>1</v>
      </c>
      <c r="F19" s="187">
        <f t="shared" si="5"/>
        <v>46032</v>
      </c>
      <c r="G19" s="128">
        <f t="shared" si="6"/>
        <v>2</v>
      </c>
      <c r="H19" s="128">
        <f t="shared" si="7"/>
        <v>10</v>
      </c>
      <c r="I19" s="128">
        <f t="shared" si="8"/>
        <v>6</v>
      </c>
      <c r="J19" s="188">
        <f t="shared" si="9"/>
        <v>46032</v>
      </c>
      <c r="K19" s="128" t="str" cm="1">
        <f t="array" ref="K19">IF(AND(I19&lt;7,INDEX(B_tblFTMatrix,$E19,$H19)="x"),"ft","")</f>
        <v/>
      </c>
      <c r="L19" s="128"/>
      <c r="M19" s="128"/>
      <c r="N19" s="128">
        <f t="shared" si="0"/>
        <v>0</v>
      </c>
      <c r="O19" s="128">
        <f t="shared" si="10"/>
        <v>0</v>
      </c>
      <c r="P19" s="227">
        <f t="shared" si="1"/>
        <v>0</v>
      </c>
      <c r="Q19" s="228" cm="1">
        <f t="array" ref="Q19">SUMPRODUCT((H_tblBGTage=I19)*(H_tblBGMnt=E19)*H_tblBG%)</f>
        <v>0</v>
      </c>
      <c r="R19" s="227">
        <f t="shared" si="11"/>
        <v>0</v>
      </c>
      <c r="S19" s="233"/>
      <c r="T19" s="233"/>
      <c r="U19" s="232" cm="1">
        <f t="array" ref="U19">SUMPRODUCT((JAN!M_Verweiszeile=$H19)*JAN!M_ProdTag*(JAN!M_Monat=$E19))</f>
        <v>0</v>
      </c>
      <c r="V19" s="232" cm="1">
        <f t="array" ref="V19">SUMPRODUCT((JAN!M_Verweiszeile=$H19)*JAN!M_ProdN1*(JAN!M_Monat=$E19))</f>
        <v>0</v>
      </c>
      <c r="W19" s="232" cm="1">
        <f t="array" ref="W19">SUMPRODUCT((JAN!M_Verweiszeile=$H19)*JAN!M_ProdN2*(JAN!M_Monat=$E19))</f>
        <v>0</v>
      </c>
      <c r="X19" s="232" cm="1">
        <f t="array" ref="X19">SUMPRODUCT((JAN!M_Verweiszeile=$H19)*JAN!M_Reise*(JAN!M_Monat=$E19))</f>
        <v>0</v>
      </c>
      <c r="Y19" s="232" cm="1">
        <f t="array" ref="Y19">SUMPRODUCT((JAN!M_Verweiszeile=$H19)*JAN!M_Reiseabzug*(JAN!M_Monat=$E19))</f>
        <v>0</v>
      </c>
      <c r="Z19" s="232">
        <f t="shared" si="12"/>
        <v>0</v>
      </c>
      <c r="AA19" s="232">
        <f t="shared" si="2"/>
        <v>0</v>
      </c>
      <c r="AB19" s="232">
        <f t="shared" si="3"/>
        <v>0</v>
      </c>
      <c r="AC19" s="232">
        <f t="shared" si="13"/>
        <v>0</v>
      </c>
      <c r="AD19" s="232">
        <f t="shared" si="14"/>
        <v>0</v>
      </c>
      <c r="AE19" s="232">
        <f t="shared" si="15"/>
        <v>0</v>
      </c>
    </row>
    <row r="20" spans="3:31" x14ac:dyDescent="0.2">
      <c r="C20" s="128">
        <v>11</v>
      </c>
      <c r="D20" s="186">
        <f t="shared" si="16"/>
        <v>46033</v>
      </c>
      <c r="E20" s="128">
        <f t="shared" si="4"/>
        <v>1</v>
      </c>
      <c r="F20" s="187">
        <f t="shared" si="5"/>
        <v>46033</v>
      </c>
      <c r="G20" s="128">
        <f t="shared" si="6"/>
        <v>2</v>
      </c>
      <c r="H20" s="128">
        <f t="shared" si="7"/>
        <v>11</v>
      </c>
      <c r="I20" s="128">
        <f t="shared" si="8"/>
        <v>7</v>
      </c>
      <c r="J20" s="188">
        <f t="shared" si="9"/>
        <v>46033</v>
      </c>
      <c r="K20" s="128" t="str" cm="1">
        <f t="array" ref="K20">IF(AND(I20&lt;7,INDEX(B_tblFTMatrix,$E20,$H20)="x"),"ft","")</f>
        <v/>
      </c>
      <c r="L20" s="128"/>
      <c r="M20" s="128"/>
      <c r="N20" s="128">
        <f t="shared" si="0"/>
        <v>0</v>
      </c>
      <c r="O20" s="128">
        <f t="shared" si="10"/>
        <v>0</v>
      </c>
      <c r="P20" s="227">
        <f t="shared" si="1"/>
        <v>0</v>
      </c>
      <c r="Q20" s="228" cm="1">
        <f t="array" ref="Q20">SUMPRODUCT((H_tblBGTage=I20)*(H_tblBGMnt=E20)*H_tblBG%)</f>
        <v>0</v>
      </c>
      <c r="R20" s="227">
        <f t="shared" si="11"/>
        <v>0</v>
      </c>
      <c r="S20" s="233"/>
      <c r="T20" s="233"/>
      <c r="U20" s="232" cm="1">
        <f t="array" ref="U20">SUMPRODUCT((JAN!M_Verweiszeile=$H20)*JAN!M_ProdTag*(JAN!M_Monat=$E20))</f>
        <v>0</v>
      </c>
      <c r="V20" s="232" cm="1">
        <f t="array" ref="V20">SUMPRODUCT((JAN!M_Verweiszeile=$H20)*JAN!M_ProdN1*(JAN!M_Monat=$E20))</f>
        <v>0</v>
      </c>
      <c r="W20" s="232" cm="1">
        <f t="array" ref="W20">SUMPRODUCT((JAN!M_Verweiszeile=$H20)*JAN!M_ProdN2*(JAN!M_Monat=$E20))</f>
        <v>0</v>
      </c>
      <c r="X20" s="232" cm="1">
        <f t="array" ref="X20">SUMPRODUCT((JAN!M_Verweiszeile=$H20)*JAN!M_Reise*(JAN!M_Monat=$E20))</f>
        <v>0</v>
      </c>
      <c r="Y20" s="232" cm="1">
        <f t="array" ref="Y20">SUMPRODUCT((JAN!M_Verweiszeile=$H20)*JAN!M_Reiseabzug*(JAN!M_Monat=$E20))</f>
        <v>0</v>
      </c>
      <c r="Z20" s="232">
        <f t="shared" si="12"/>
        <v>0</v>
      </c>
      <c r="AA20" s="232">
        <f t="shared" si="2"/>
        <v>0</v>
      </c>
      <c r="AB20" s="232">
        <f t="shared" si="3"/>
        <v>0</v>
      </c>
      <c r="AC20" s="232">
        <f t="shared" si="13"/>
        <v>0</v>
      </c>
      <c r="AD20" s="232">
        <f t="shared" si="14"/>
        <v>0</v>
      </c>
      <c r="AE20" s="232">
        <f t="shared" si="15"/>
        <v>0</v>
      </c>
    </row>
    <row r="21" spans="3:31" x14ac:dyDescent="0.2">
      <c r="C21" s="128">
        <v>12</v>
      </c>
      <c r="D21" s="186">
        <f t="shared" si="16"/>
        <v>46034</v>
      </c>
      <c r="E21" s="128">
        <f t="shared" si="4"/>
        <v>1</v>
      </c>
      <c r="F21" s="187">
        <f t="shared" si="5"/>
        <v>46034</v>
      </c>
      <c r="G21" s="128">
        <f t="shared" si="6"/>
        <v>3</v>
      </c>
      <c r="H21" s="128">
        <f t="shared" si="7"/>
        <v>12</v>
      </c>
      <c r="I21" s="128">
        <f t="shared" si="8"/>
        <v>1</v>
      </c>
      <c r="J21" s="188">
        <f t="shared" si="9"/>
        <v>46034</v>
      </c>
      <c r="K21" s="128" t="str" cm="1">
        <f t="array" ref="K21">IF(AND(I21&lt;7,INDEX(B_tblFTMatrix,$E21,$H21)="x"),"ft","")</f>
        <v/>
      </c>
      <c r="L21" s="128"/>
      <c r="M21" s="128"/>
      <c r="N21" s="128">
        <f t="shared" si="0"/>
        <v>1</v>
      </c>
      <c r="O21" s="128">
        <f t="shared" si="10"/>
        <v>1</v>
      </c>
      <c r="P21" s="227">
        <f t="shared" si="1"/>
        <v>8</v>
      </c>
      <c r="Q21" s="228" cm="1">
        <f t="array" ref="Q21">SUMPRODUCT((H_tblBGTage=I21)*(H_tblBGMnt=E21)*H_tblBG%)</f>
        <v>1</v>
      </c>
      <c r="R21" s="227">
        <f t="shared" si="11"/>
        <v>8</v>
      </c>
      <c r="S21" s="233"/>
      <c r="T21" s="233"/>
      <c r="U21" s="232" cm="1">
        <f t="array" ref="U21">SUMPRODUCT((JAN!M_Verweiszeile=$H21)*JAN!M_ProdTag*(JAN!M_Monat=$E21))</f>
        <v>0</v>
      </c>
      <c r="V21" s="232" cm="1">
        <f t="array" ref="V21">SUMPRODUCT((JAN!M_Verweiszeile=$H21)*JAN!M_ProdN1*(JAN!M_Monat=$E21))</f>
        <v>0</v>
      </c>
      <c r="W21" s="232" cm="1">
        <f t="array" ref="W21">SUMPRODUCT((JAN!M_Verweiszeile=$H21)*JAN!M_ProdN2*(JAN!M_Monat=$E21))</f>
        <v>0</v>
      </c>
      <c r="X21" s="232" cm="1">
        <f t="array" ref="X21">SUMPRODUCT((JAN!M_Verweiszeile=$H21)*JAN!M_Reise*(JAN!M_Monat=$E21))</f>
        <v>0</v>
      </c>
      <c r="Y21" s="232" cm="1">
        <f t="array" ref="Y21">SUMPRODUCT((JAN!M_Verweiszeile=$H21)*JAN!M_Reiseabzug*(JAN!M_Monat=$E21))</f>
        <v>0</v>
      </c>
      <c r="Z21" s="232">
        <f>SUM(U21:X21)-Y21</f>
        <v>0</v>
      </c>
      <c r="AA21" s="232">
        <f t="shared" si="2"/>
        <v>0</v>
      </c>
      <c r="AB21" s="232">
        <f t="shared" si="3"/>
        <v>0</v>
      </c>
      <c r="AC21" s="232">
        <f t="shared" si="13"/>
        <v>0</v>
      </c>
      <c r="AD21" s="232">
        <f t="shared" si="14"/>
        <v>0</v>
      </c>
      <c r="AE21" s="232">
        <f t="shared" si="15"/>
        <v>0</v>
      </c>
    </row>
    <row r="22" spans="3:31" x14ac:dyDescent="0.2">
      <c r="C22" s="128">
        <v>13</v>
      </c>
      <c r="D22" s="186">
        <f t="shared" si="16"/>
        <v>46035</v>
      </c>
      <c r="E22" s="128">
        <f t="shared" si="4"/>
        <v>1</v>
      </c>
      <c r="F22" s="187">
        <f t="shared" si="5"/>
        <v>46035</v>
      </c>
      <c r="G22" s="128">
        <f t="shared" si="6"/>
        <v>3</v>
      </c>
      <c r="H22" s="128">
        <f t="shared" si="7"/>
        <v>13</v>
      </c>
      <c r="I22" s="128">
        <f t="shared" si="8"/>
        <v>2</v>
      </c>
      <c r="J22" s="188">
        <f t="shared" si="9"/>
        <v>46035</v>
      </c>
      <c r="K22" s="128" t="str" cm="1">
        <f t="array" ref="K22">IF(AND(I22&lt;7,INDEX(B_tblFTMatrix,$E22,$H22)="x"),"ft","")</f>
        <v/>
      </c>
      <c r="L22" s="128"/>
      <c r="M22" s="128"/>
      <c r="N22" s="128">
        <f t="shared" si="0"/>
        <v>1</v>
      </c>
      <c r="O22" s="128">
        <f t="shared" si="10"/>
        <v>1</v>
      </c>
      <c r="P22" s="227">
        <f t="shared" si="1"/>
        <v>8</v>
      </c>
      <c r="Q22" s="228" cm="1">
        <f t="array" ref="Q22">SUMPRODUCT((H_tblBGTage=I22)*(H_tblBGMnt=E22)*H_tblBG%)</f>
        <v>1</v>
      </c>
      <c r="R22" s="227">
        <f t="shared" si="11"/>
        <v>8</v>
      </c>
      <c r="S22" s="233"/>
      <c r="T22" s="233"/>
      <c r="U22" s="232" cm="1">
        <f t="array" ref="U22">SUMPRODUCT((JAN!M_Verweiszeile=$H22)*JAN!M_ProdTag*(JAN!M_Monat=$E22))</f>
        <v>0</v>
      </c>
      <c r="V22" s="232" cm="1">
        <f t="array" ref="V22">SUMPRODUCT((JAN!M_Verweiszeile=$H22)*JAN!M_ProdN1*(JAN!M_Monat=$E22))</f>
        <v>0</v>
      </c>
      <c r="W22" s="232" cm="1">
        <f t="array" ref="W22">SUMPRODUCT((JAN!M_Verweiszeile=$H22)*JAN!M_ProdN2*(JAN!M_Monat=$E22))</f>
        <v>0</v>
      </c>
      <c r="X22" s="232" cm="1">
        <f t="array" ref="X22">SUMPRODUCT((JAN!M_Verweiszeile=$H22)*JAN!M_Reise*(JAN!M_Monat=$E22))</f>
        <v>0</v>
      </c>
      <c r="Y22" s="232" cm="1">
        <f t="array" ref="Y22">SUMPRODUCT((JAN!M_Verweiszeile=$H22)*JAN!M_Reiseabzug*(JAN!M_Monat=$E22))</f>
        <v>0</v>
      </c>
      <c r="Z22" s="232">
        <f t="shared" si="12"/>
        <v>0</v>
      </c>
      <c r="AA22" s="232">
        <f t="shared" si="2"/>
        <v>0</v>
      </c>
      <c r="AB22" s="232">
        <f t="shared" si="3"/>
        <v>0</v>
      </c>
      <c r="AC22" s="232">
        <f t="shared" si="13"/>
        <v>0</v>
      </c>
      <c r="AD22" s="232">
        <f t="shared" si="14"/>
        <v>0</v>
      </c>
      <c r="AE22" s="232">
        <f t="shared" si="15"/>
        <v>0</v>
      </c>
    </row>
    <row r="23" spans="3:31" x14ac:dyDescent="0.2">
      <c r="C23" s="128">
        <v>14</v>
      </c>
      <c r="D23" s="186">
        <f t="shared" si="16"/>
        <v>46036</v>
      </c>
      <c r="E23" s="128">
        <f t="shared" si="4"/>
        <v>1</v>
      </c>
      <c r="F23" s="187">
        <f t="shared" si="5"/>
        <v>46036</v>
      </c>
      <c r="G23" s="128">
        <f t="shared" si="6"/>
        <v>3</v>
      </c>
      <c r="H23" s="128">
        <f t="shared" si="7"/>
        <v>14</v>
      </c>
      <c r="I23" s="128">
        <f t="shared" si="8"/>
        <v>3</v>
      </c>
      <c r="J23" s="188">
        <f t="shared" si="9"/>
        <v>46036</v>
      </c>
      <c r="K23" s="128" t="str" cm="1">
        <f t="array" ref="K23">IF(AND(I23&lt;7,INDEX(B_tblFTMatrix,$E23,$H23)="x"),"ft","")</f>
        <v/>
      </c>
      <c r="L23" s="128"/>
      <c r="M23" s="128"/>
      <c r="N23" s="128">
        <f t="shared" si="0"/>
        <v>1</v>
      </c>
      <c r="O23" s="128">
        <f t="shared" si="10"/>
        <v>1</v>
      </c>
      <c r="P23" s="227">
        <f t="shared" si="1"/>
        <v>8</v>
      </c>
      <c r="Q23" s="228" cm="1">
        <f t="array" ref="Q23">SUMPRODUCT((H_tblBGTage=I23)*(H_tblBGMnt=E23)*H_tblBG%)</f>
        <v>1</v>
      </c>
      <c r="R23" s="227">
        <f t="shared" si="11"/>
        <v>8</v>
      </c>
      <c r="S23" s="233"/>
      <c r="T23" s="233"/>
      <c r="U23" s="232" cm="1">
        <f t="array" ref="U23">SUMPRODUCT((JAN!M_Verweiszeile=$H23)*JAN!M_ProdTag*(JAN!M_Monat=$E23))</f>
        <v>0</v>
      </c>
      <c r="V23" s="232" cm="1">
        <f t="array" ref="V23">SUMPRODUCT((JAN!M_Verweiszeile=$H23)*JAN!M_ProdN1*(JAN!M_Monat=$E23))</f>
        <v>0</v>
      </c>
      <c r="W23" s="232" cm="1">
        <f t="array" ref="W23">SUMPRODUCT((JAN!M_Verweiszeile=$H23)*JAN!M_ProdN2*(JAN!M_Monat=$E23))</f>
        <v>0</v>
      </c>
      <c r="X23" s="232" cm="1">
        <f t="array" ref="X23">SUMPRODUCT((JAN!M_Verweiszeile=$H23)*JAN!M_Reise*(JAN!M_Monat=$E23))</f>
        <v>0</v>
      </c>
      <c r="Y23" s="232" cm="1">
        <f t="array" ref="Y23">SUMPRODUCT((JAN!M_Verweiszeile=$H23)*JAN!M_Reiseabzug*(JAN!M_Monat=$E23))</f>
        <v>0</v>
      </c>
      <c r="Z23" s="232">
        <f t="shared" si="12"/>
        <v>0</v>
      </c>
      <c r="AA23" s="232">
        <f t="shared" si="2"/>
        <v>0</v>
      </c>
      <c r="AB23" s="232">
        <f t="shared" si="3"/>
        <v>0</v>
      </c>
      <c r="AC23" s="232">
        <f t="shared" si="13"/>
        <v>0</v>
      </c>
      <c r="AD23" s="232">
        <f t="shared" si="14"/>
        <v>0</v>
      </c>
      <c r="AE23" s="232">
        <f t="shared" si="15"/>
        <v>0</v>
      </c>
    </row>
    <row r="24" spans="3:31" x14ac:dyDescent="0.2">
      <c r="C24" s="128">
        <v>15</v>
      </c>
      <c r="D24" s="186">
        <f t="shared" si="16"/>
        <v>46037</v>
      </c>
      <c r="E24" s="128">
        <f t="shared" si="4"/>
        <v>1</v>
      </c>
      <c r="F24" s="187">
        <f t="shared" si="5"/>
        <v>46037</v>
      </c>
      <c r="G24" s="128">
        <f t="shared" si="6"/>
        <v>3</v>
      </c>
      <c r="H24" s="128">
        <f t="shared" si="7"/>
        <v>15</v>
      </c>
      <c r="I24" s="128">
        <f t="shared" si="8"/>
        <v>4</v>
      </c>
      <c r="J24" s="188">
        <f t="shared" si="9"/>
        <v>46037</v>
      </c>
      <c r="K24" s="128" t="str" cm="1">
        <f t="array" ref="K24">IF(AND(I24&lt;7,INDEX(B_tblFTMatrix,$E24,$H24)="x"),"ft","")</f>
        <v/>
      </c>
      <c r="L24" s="128"/>
      <c r="M24" s="128"/>
      <c r="N24" s="128">
        <f t="shared" si="0"/>
        <v>1</v>
      </c>
      <c r="O24" s="128">
        <f t="shared" si="10"/>
        <v>1</v>
      </c>
      <c r="P24" s="227">
        <f t="shared" si="1"/>
        <v>8</v>
      </c>
      <c r="Q24" s="229" cm="1">
        <f t="array" ref="Q24">SUMPRODUCT((H_tblBGTage=I24)*(H_tblBGMnt=E24)*H_tblBG%)</f>
        <v>1</v>
      </c>
      <c r="R24" s="227">
        <f t="shared" si="11"/>
        <v>8</v>
      </c>
      <c r="S24" s="233"/>
      <c r="T24" s="233"/>
      <c r="U24" s="232" cm="1">
        <f t="array" ref="U24">SUMPRODUCT((JAN!M_Verweiszeile=$H24)*JAN!M_ProdTag*(JAN!M_Monat=$E24))</f>
        <v>0</v>
      </c>
      <c r="V24" s="232" cm="1">
        <f t="array" ref="V24">SUMPRODUCT((JAN!M_Verweiszeile=$H24)*JAN!M_ProdN1*(JAN!M_Monat=$E24))</f>
        <v>0</v>
      </c>
      <c r="W24" s="232" cm="1">
        <f t="array" ref="W24">SUMPRODUCT((JAN!M_Verweiszeile=$H24)*JAN!M_ProdN2*(JAN!M_Monat=$E24))</f>
        <v>0</v>
      </c>
      <c r="X24" s="232" cm="1">
        <f t="array" ref="X24">SUMPRODUCT((JAN!M_Verweiszeile=$H24)*JAN!M_Reise*(JAN!M_Monat=$E24))</f>
        <v>0</v>
      </c>
      <c r="Y24" s="232" cm="1">
        <f t="array" ref="Y24">SUMPRODUCT((JAN!M_Verweiszeile=$H24)*JAN!M_Reiseabzug*(JAN!M_Monat=$E24))</f>
        <v>0</v>
      </c>
      <c r="Z24" s="232">
        <f t="shared" si="12"/>
        <v>0</v>
      </c>
      <c r="AA24" s="232">
        <f t="shared" si="2"/>
        <v>0</v>
      </c>
      <c r="AB24" s="232">
        <f t="shared" si="3"/>
        <v>0</v>
      </c>
      <c r="AC24" s="232">
        <f t="shared" si="13"/>
        <v>0</v>
      </c>
      <c r="AD24" s="232">
        <f t="shared" si="14"/>
        <v>0</v>
      </c>
      <c r="AE24" s="232">
        <f t="shared" si="15"/>
        <v>0</v>
      </c>
    </row>
    <row r="25" spans="3:31" x14ac:dyDescent="0.2">
      <c r="C25" s="128">
        <v>16</v>
      </c>
      <c r="D25" s="186">
        <f t="shared" si="16"/>
        <v>46038</v>
      </c>
      <c r="E25" s="128">
        <f t="shared" si="4"/>
        <v>1</v>
      </c>
      <c r="F25" s="187">
        <f t="shared" si="5"/>
        <v>46038</v>
      </c>
      <c r="G25" s="128">
        <f t="shared" si="6"/>
        <v>3</v>
      </c>
      <c r="H25" s="128">
        <f t="shared" si="7"/>
        <v>16</v>
      </c>
      <c r="I25" s="128">
        <f t="shared" si="8"/>
        <v>5</v>
      </c>
      <c r="J25" s="188">
        <f t="shared" si="9"/>
        <v>46038</v>
      </c>
      <c r="K25" s="128" t="str" cm="1">
        <f t="array" ref="K25">IF(AND(I25&lt;7,INDEX(B_tblFTMatrix,$E25,$H25)="x"),"ft","")</f>
        <v/>
      </c>
      <c r="L25" s="128"/>
      <c r="M25" s="128"/>
      <c r="N25" s="128">
        <f t="shared" si="0"/>
        <v>1</v>
      </c>
      <c r="O25" s="128">
        <f t="shared" si="10"/>
        <v>1</v>
      </c>
      <c r="P25" s="227">
        <f t="shared" si="1"/>
        <v>8</v>
      </c>
      <c r="Q25" s="229" cm="1">
        <f t="array" ref="Q25">SUMPRODUCT((H_tblBGTage=I25)*(H_tblBGMnt=E25)*H_tblBG%)</f>
        <v>1</v>
      </c>
      <c r="R25" s="227">
        <f t="shared" si="11"/>
        <v>8</v>
      </c>
      <c r="S25" s="233"/>
      <c r="T25" s="233"/>
      <c r="U25" s="232" cm="1">
        <f t="array" ref="U25">SUMPRODUCT((JAN!M_Verweiszeile=$H25)*JAN!M_ProdTag*(JAN!M_Monat=$E25))</f>
        <v>0</v>
      </c>
      <c r="V25" s="232" cm="1">
        <f t="array" ref="V25">SUMPRODUCT((JAN!M_Verweiszeile=$H25)*JAN!M_ProdN1*(JAN!M_Monat=$E25))</f>
        <v>0</v>
      </c>
      <c r="W25" s="232" cm="1">
        <f t="array" ref="W25">SUMPRODUCT((JAN!M_Verweiszeile=$H25)*JAN!M_ProdN2*(JAN!M_Monat=$E25))</f>
        <v>0</v>
      </c>
      <c r="X25" s="232" cm="1">
        <f t="array" ref="X25">SUMPRODUCT((JAN!M_Verweiszeile=$H25)*JAN!M_Reise*(JAN!M_Monat=$E25))</f>
        <v>0</v>
      </c>
      <c r="Y25" s="232" cm="1">
        <f t="array" ref="Y25">SUMPRODUCT((JAN!M_Verweiszeile=$H25)*JAN!M_Reiseabzug*(JAN!M_Monat=$E25))</f>
        <v>0</v>
      </c>
      <c r="Z25" s="232">
        <f t="shared" si="12"/>
        <v>0</v>
      </c>
      <c r="AA25" s="232">
        <f t="shared" si="2"/>
        <v>0</v>
      </c>
      <c r="AB25" s="232">
        <f t="shared" si="3"/>
        <v>0</v>
      </c>
      <c r="AC25" s="232">
        <f t="shared" si="13"/>
        <v>0</v>
      </c>
      <c r="AD25" s="232">
        <f t="shared" si="14"/>
        <v>0</v>
      </c>
      <c r="AE25" s="232">
        <f t="shared" si="15"/>
        <v>0</v>
      </c>
    </row>
    <row r="26" spans="3:31" x14ac:dyDescent="0.2">
      <c r="C26" s="128">
        <v>17</v>
      </c>
      <c r="D26" s="186">
        <f t="shared" si="16"/>
        <v>46039</v>
      </c>
      <c r="E26" s="128">
        <f t="shared" si="4"/>
        <v>1</v>
      </c>
      <c r="F26" s="187">
        <f t="shared" si="5"/>
        <v>46039</v>
      </c>
      <c r="G26" s="128">
        <f t="shared" si="6"/>
        <v>3</v>
      </c>
      <c r="H26" s="128">
        <f t="shared" si="7"/>
        <v>17</v>
      </c>
      <c r="I26" s="128">
        <f t="shared" si="8"/>
        <v>6</v>
      </c>
      <c r="J26" s="188">
        <f t="shared" si="9"/>
        <v>46039</v>
      </c>
      <c r="K26" s="128" t="str" cm="1">
        <f t="array" ref="K26">IF(AND(I26&lt;7,INDEX(B_tblFTMatrix,$E26,$H26)="x"),"ft","")</f>
        <v/>
      </c>
      <c r="L26" s="128"/>
      <c r="M26" s="128"/>
      <c r="N26" s="128">
        <f t="shared" si="0"/>
        <v>0</v>
      </c>
      <c r="O26" s="128">
        <f t="shared" si="10"/>
        <v>0</v>
      </c>
      <c r="P26" s="227">
        <f t="shared" si="1"/>
        <v>0</v>
      </c>
      <c r="Q26" s="229" cm="1">
        <f t="array" ref="Q26">SUMPRODUCT((H_tblBGTage=I26)*(H_tblBGMnt=E26)*H_tblBG%)</f>
        <v>0</v>
      </c>
      <c r="R26" s="227">
        <f t="shared" si="11"/>
        <v>0</v>
      </c>
      <c r="S26" s="233"/>
      <c r="T26" s="233"/>
      <c r="U26" s="232" cm="1">
        <f t="array" ref="U26">SUMPRODUCT((JAN!M_Verweiszeile=$H26)*JAN!M_ProdTag*(JAN!M_Monat=$E26))</f>
        <v>0</v>
      </c>
      <c r="V26" s="232" cm="1">
        <f t="array" ref="V26">SUMPRODUCT((JAN!M_Verweiszeile=$H26)*JAN!M_ProdN1*(JAN!M_Monat=$E26))</f>
        <v>0</v>
      </c>
      <c r="W26" s="232" cm="1">
        <f t="array" ref="W26">SUMPRODUCT((JAN!M_Verweiszeile=$H26)*JAN!M_ProdN2*(JAN!M_Monat=$E26))</f>
        <v>0</v>
      </c>
      <c r="X26" s="232" cm="1">
        <f t="array" ref="X26">SUMPRODUCT((JAN!M_Verweiszeile=$H26)*JAN!M_Reise*(JAN!M_Monat=$E26))</f>
        <v>0</v>
      </c>
      <c r="Y26" s="232" cm="1">
        <f t="array" ref="Y26">SUMPRODUCT((JAN!M_Verweiszeile=$H26)*JAN!M_Reiseabzug*(JAN!M_Monat=$E26))</f>
        <v>0</v>
      </c>
      <c r="Z26" s="232">
        <f t="shared" si="12"/>
        <v>0</v>
      </c>
      <c r="AA26" s="232">
        <f t="shared" si="2"/>
        <v>0</v>
      </c>
      <c r="AB26" s="232">
        <f t="shared" si="3"/>
        <v>0</v>
      </c>
      <c r="AC26" s="232">
        <f t="shared" si="13"/>
        <v>0</v>
      </c>
      <c r="AD26" s="232">
        <f t="shared" si="14"/>
        <v>0</v>
      </c>
      <c r="AE26" s="232">
        <f t="shared" si="15"/>
        <v>0</v>
      </c>
    </row>
    <row r="27" spans="3:31" x14ac:dyDescent="0.2">
      <c r="C27" s="128">
        <v>18</v>
      </c>
      <c r="D27" s="186">
        <f t="shared" si="16"/>
        <v>46040</v>
      </c>
      <c r="E27" s="128">
        <f t="shared" si="4"/>
        <v>1</v>
      </c>
      <c r="F27" s="187">
        <f t="shared" si="5"/>
        <v>46040</v>
      </c>
      <c r="G27" s="128">
        <f t="shared" si="6"/>
        <v>3</v>
      </c>
      <c r="H27" s="128">
        <f t="shared" si="7"/>
        <v>18</v>
      </c>
      <c r="I27" s="128">
        <f t="shared" si="8"/>
        <v>7</v>
      </c>
      <c r="J27" s="188">
        <f t="shared" si="9"/>
        <v>46040</v>
      </c>
      <c r="K27" s="128" t="str" cm="1">
        <f t="array" ref="K27">IF(AND(I27&lt;7,INDEX(B_tblFTMatrix,$E27,$H27)="x"),"ft","")</f>
        <v/>
      </c>
      <c r="L27" s="128"/>
      <c r="M27" s="128"/>
      <c r="N27" s="128">
        <f t="shared" si="0"/>
        <v>0</v>
      </c>
      <c r="O27" s="128">
        <f t="shared" si="10"/>
        <v>0</v>
      </c>
      <c r="P27" s="227">
        <f t="shared" si="1"/>
        <v>0</v>
      </c>
      <c r="Q27" s="229" cm="1">
        <f t="array" ref="Q27">SUMPRODUCT((H_tblBGTage=I27)*(H_tblBGMnt=E27)*H_tblBG%)</f>
        <v>0</v>
      </c>
      <c r="R27" s="227">
        <f t="shared" si="11"/>
        <v>0</v>
      </c>
      <c r="S27" s="233"/>
      <c r="T27" s="233"/>
      <c r="U27" s="232" cm="1">
        <f t="array" ref="U27">SUMPRODUCT((JAN!M_Verweiszeile=$H27)*JAN!M_ProdTag*(JAN!M_Monat=$E27))</f>
        <v>0</v>
      </c>
      <c r="V27" s="232" cm="1">
        <f t="array" ref="V27">SUMPRODUCT((JAN!M_Verweiszeile=$H27)*JAN!M_ProdN1*(JAN!M_Monat=$E27))</f>
        <v>0</v>
      </c>
      <c r="W27" s="232" cm="1">
        <f t="array" ref="W27">SUMPRODUCT((JAN!M_Verweiszeile=$H27)*JAN!M_ProdN2*(JAN!M_Monat=$E27))</f>
        <v>0</v>
      </c>
      <c r="X27" s="232" cm="1">
        <f t="array" ref="X27">SUMPRODUCT((JAN!M_Verweiszeile=$H27)*JAN!M_Reise*(JAN!M_Monat=$E27))</f>
        <v>0</v>
      </c>
      <c r="Y27" s="232" cm="1">
        <f t="array" ref="Y27">SUMPRODUCT((JAN!M_Verweiszeile=$H27)*JAN!M_Reiseabzug*(JAN!M_Monat=$E27))</f>
        <v>0</v>
      </c>
      <c r="Z27" s="232">
        <f t="shared" si="12"/>
        <v>0</v>
      </c>
      <c r="AA27" s="232">
        <f t="shared" si="2"/>
        <v>0</v>
      </c>
      <c r="AB27" s="232">
        <f t="shared" si="3"/>
        <v>0</v>
      </c>
      <c r="AC27" s="232">
        <f t="shared" si="13"/>
        <v>0</v>
      </c>
      <c r="AD27" s="232">
        <f t="shared" si="14"/>
        <v>0</v>
      </c>
      <c r="AE27" s="232">
        <f t="shared" si="15"/>
        <v>0</v>
      </c>
    </row>
    <row r="28" spans="3:31" x14ac:dyDescent="0.2">
      <c r="C28" s="128">
        <v>19</v>
      </c>
      <c r="D28" s="186">
        <f t="shared" si="16"/>
        <v>46041</v>
      </c>
      <c r="E28" s="128">
        <f t="shared" si="4"/>
        <v>1</v>
      </c>
      <c r="F28" s="187">
        <f t="shared" si="5"/>
        <v>46041</v>
      </c>
      <c r="G28" s="128">
        <f t="shared" si="6"/>
        <v>4</v>
      </c>
      <c r="H28" s="128">
        <f t="shared" si="7"/>
        <v>19</v>
      </c>
      <c r="I28" s="128">
        <f t="shared" si="8"/>
        <v>1</v>
      </c>
      <c r="J28" s="188">
        <f t="shared" si="9"/>
        <v>46041</v>
      </c>
      <c r="K28" s="128" t="str" cm="1">
        <f t="array" ref="K28">IF(AND(I28&lt;7,INDEX(B_tblFTMatrix,$E28,$H28)="x"),"ft","")</f>
        <v/>
      </c>
      <c r="L28" s="128"/>
      <c r="M28" s="128"/>
      <c r="N28" s="128">
        <f t="shared" si="0"/>
        <v>1</v>
      </c>
      <c r="O28" s="128">
        <f t="shared" si="10"/>
        <v>1</v>
      </c>
      <c r="P28" s="227">
        <f t="shared" si="1"/>
        <v>8</v>
      </c>
      <c r="Q28" s="229" cm="1">
        <f t="array" ref="Q28">SUMPRODUCT((H_tblBGTage=I28)*(H_tblBGMnt=E28)*H_tblBG%)</f>
        <v>1</v>
      </c>
      <c r="R28" s="227">
        <f t="shared" si="11"/>
        <v>8</v>
      </c>
      <c r="S28" s="233"/>
      <c r="T28" s="233"/>
      <c r="U28" s="232" cm="1">
        <f t="array" ref="U28">SUMPRODUCT((JAN!M_Verweiszeile=$H28)*JAN!M_ProdTag*(JAN!M_Monat=$E28))</f>
        <v>0</v>
      </c>
      <c r="V28" s="232" cm="1">
        <f t="array" ref="V28">SUMPRODUCT((JAN!M_Verweiszeile=$H28)*JAN!M_ProdN1*(JAN!M_Monat=$E28))</f>
        <v>0</v>
      </c>
      <c r="W28" s="232" cm="1">
        <f t="array" ref="W28">SUMPRODUCT((JAN!M_Verweiszeile=$H28)*JAN!M_ProdN2*(JAN!M_Monat=$E28))</f>
        <v>0</v>
      </c>
      <c r="X28" s="232" cm="1">
        <f t="array" ref="X28">SUMPRODUCT((JAN!M_Verweiszeile=$H28)*JAN!M_Reise*(JAN!M_Monat=$E28))</f>
        <v>0</v>
      </c>
      <c r="Y28" s="232" cm="1">
        <f t="array" ref="Y28">SUMPRODUCT((JAN!M_Verweiszeile=$H28)*JAN!M_Reiseabzug*(JAN!M_Monat=$E28))</f>
        <v>0</v>
      </c>
      <c r="Z28" s="232">
        <f t="shared" si="12"/>
        <v>0</v>
      </c>
      <c r="AA28" s="232">
        <f t="shared" si="2"/>
        <v>0</v>
      </c>
      <c r="AB28" s="232">
        <f t="shared" si="3"/>
        <v>0</v>
      </c>
      <c r="AC28" s="232">
        <f t="shared" si="13"/>
        <v>0</v>
      </c>
      <c r="AD28" s="232">
        <f t="shared" si="14"/>
        <v>0</v>
      </c>
      <c r="AE28" s="232">
        <f t="shared" si="15"/>
        <v>0</v>
      </c>
    </row>
    <row r="29" spans="3:31" x14ac:dyDescent="0.2">
      <c r="C29" s="128">
        <v>20</v>
      </c>
      <c r="D29" s="186">
        <f t="shared" si="16"/>
        <v>46042</v>
      </c>
      <c r="E29" s="128">
        <f t="shared" si="4"/>
        <v>1</v>
      </c>
      <c r="F29" s="187">
        <f t="shared" si="5"/>
        <v>46042</v>
      </c>
      <c r="G29" s="128">
        <f t="shared" si="6"/>
        <v>4</v>
      </c>
      <c r="H29" s="128">
        <f t="shared" si="7"/>
        <v>20</v>
      </c>
      <c r="I29" s="128">
        <f t="shared" si="8"/>
        <v>2</v>
      </c>
      <c r="J29" s="188">
        <f t="shared" si="9"/>
        <v>46042</v>
      </c>
      <c r="K29" s="128" t="str" cm="1">
        <f t="array" ref="K29">IF(AND(I29&lt;7,INDEX(B_tblFTMatrix,$E29,$H29)="x"),"ft","")</f>
        <v/>
      </c>
      <c r="L29" s="128"/>
      <c r="M29" s="128"/>
      <c r="N29" s="128">
        <f t="shared" si="0"/>
        <v>1</v>
      </c>
      <c r="O29" s="128">
        <f t="shared" si="10"/>
        <v>1</v>
      </c>
      <c r="P29" s="227">
        <f t="shared" si="1"/>
        <v>8</v>
      </c>
      <c r="Q29" s="229" cm="1">
        <f t="array" ref="Q29">SUMPRODUCT((H_tblBGTage=I29)*(H_tblBGMnt=E29)*H_tblBG%)</f>
        <v>1</v>
      </c>
      <c r="R29" s="227">
        <f t="shared" si="11"/>
        <v>8</v>
      </c>
      <c r="S29" s="233"/>
      <c r="T29" s="233"/>
      <c r="U29" s="232" cm="1">
        <f t="array" ref="U29">SUMPRODUCT((JAN!M_Verweiszeile=$H29)*JAN!M_ProdTag*(JAN!M_Monat=$E29))</f>
        <v>0</v>
      </c>
      <c r="V29" s="232" cm="1">
        <f t="array" ref="V29">SUMPRODUCT((JAN!M_Verweiszeile=$H29)*JAN!M_ProdN1*(JAN!M_Monat=$E29))</f>
        <v>0</v>
      </c>
      <c r="W29" s="232" cm="1">
        <f t="array" ref="W29">SUMPRODUCT((JAN!M_Verweiszeile=$H29)*JAN!M_ProdN2*(JAN!M_Monat=$E29))</f>
        <v>0</v>
      </c>
      <c r="X29" s="232" cm="1">
        <f t="array" ref="X29">SUMPRODUCT((JAN!M_Verweiszeile=$H29)*JAN!M_Reise*(JAN!M_Monat=$E29))</f>
        <v>0</v>
      </c>
      <c r="Y29" s="232" cm="1">
        <f t="array" ref="Y29">SUMPRODUCT((JAN!M_Verweiszeile=$H29)*JAN!M_Reiseabzug*(JAN!M_Monat=$E29))</f>
        <v>0</v>
      </c>
      <c r="Z29" s="232">
        <f t="shared" si="12"/>
        <v>0</v>
      </c>
      <c r="AA29" s="232">
        <f t="shared" si="2"/>
        <v>0</v>
      </c>
      <c r="AB29" s="232">
        <f t="shared" si="3"/>
        <v>0</v>
      </c>
      <c r="AC29" s="232">
        <f t="shared" si="13"/>
        <v>0</v>
      </c>
      <c r="AD29" s="232">
        <f t="shared" si="14"/>
        <v>0</v>
      </c>
      <c r="AE29" s="232">
        <f t="shared" si="15"/>
        <v>0</v>
      </c>
    </row>
    <row r="30" spans="3:31" x14ac:dyDescent="0.2">
      <c r="C30" s="128">
        <v>21</v>
      </c>
      <c r="D30" s="186">
        <f t="shared" si="16"/>
        <v>46043</v>
      </c>
      <c r="E30" s="128">
        <f t="shared" si="4"/>
        <v>1</v>
      </c>
      <c r="F30" s="187">
        <f t="shared" si="5"/>
        <v>46043</v>
      </c>
      <c r="G30" s="128">
        <f t="shared" si="6"/>
        <v>4</v>
      </c>
      <c r="H30" s="128">
        <f t="shared" si="7"/>
        <v>21</v>
      </c>
      <c r="I30" s="128">
        <f t="shared" si="8"/>
        <v>3</v>
      </c>
      <c r="J30" s="188">
        <f t="shared" si="9"/>
        <v>46043</v>
      </c>
      <c r="K30" s="128" t="str" cm="1">
        <f t="array" ref="K30">IF(AND(I30&lt;7,INDEX(B_tblFTMatrix,$E30,$H30)="x"),"ft","")</f>
        <v/>
      </c>
      <c r="L30" s="128"/>
      <c r="M30" s="128"/>
      <c r="N30" s="128">
        <f t="shared" si="0"/>
        <v>1</v>
      </c>
      <c r="O30" s="128">
        <f t="shared" si="10"/>
        <v>1</v>
      </c>
      <c r="P30" s="227">
        <f t="shared" si="1"/>
        <v>8</v>
      </c>
      <c r="Q30" s="229" cm="1">
        <f t="array" ref="Q30">SUMPRODUCT((H_tblBGTage=I30)*(H_tblBGMnt=E30)*H_tblBG%)</f>
        <v>1</v>
      </c>
      <c r="R30" s="227">
        <f t="shared" si="11"/>
        <v>8</v>
      </c>
      <c r="S30" s="233"/>
      <c r="T30" s="233"/>
      <c r="U30" s="232" cm="1">
        <f t="array" ref="U30">SUMPRODUCT((JAN!M_Verweiszeile=$H30)*JAN!M_ProdTag*(JAN!M_Monat=$E30))</f>
        <v>0</v>
      </c>
      <c r="V30" s="232" cm="1">
        <f t="array" ref="V30">SUMPRODUCT((JAN!M_Verweiszeile=$H30)*JAN!M_ProdN1*(JAN!M_Monat=$E30))</f>
        <v>0</v>
      </c>
      <c r="W30" s="232" cm="1">
        <f t="array" ref="W30">SUMPRODUCT((JAN!M_Verweiszeile=$H30)*JAN!M_ProdN2*(JAN!M_Monat=$E30))</f>
        <v>0</v>
      </c>
      <c r="X30" s="232" cm="1">
        <f t="array" ref="X30">SUMPRODUCT((JAN!M_Verweiszeile=$H30)*JAN!M_Reise*(JAN!M_Monat=$E30))</f>
        <v>0</v>
      </c>
      <c r="Y30" s="232" cm="1">
        <f t="array" ref="Y30">SUMPRODUCT((JAN!M_Verweiszeile=$H30)*JAN!M_Reiseabzug*(JAN!M_Monat=$E30))</f>
        <v>0</v>
      </c>
      <c r="Z30" s="232">
        <f t="shared" si="12"/>
        <v>0</v>
      </c>
      <c r="AA30" s="232">
        <f t="shared" si="2"/>
        <v>0</v>
      </c>
      <c r="AB30" s="232">
        <f t="shared" si="3"/>
        <v>0</v>
      </c>
      <c r="AC30" s="232">
        <f t="shared" si="13"/>
        <v>0</v>
      </c>
      <c r="AD30" s="232">
        <f t="shared" si="14"/>
        <v>0</v>
      </c>
      <c r="AE30" s="232">
        <f t="shared" si="15"/>
        <v>0</v>
      </c>
    </row>
    <row r="31" spans="3:31" x14ac:dyDescent="0.2">
      <c r="C31" s="128">
        <v>22</v>
      </c>
      <c r="D31" s="186">
        <f t="shared" si="16"/>
        <v>46044</v>
      </c>
      <c r="E31" s="128">
        <f t="shared" si="4"/>
        <v>1</v>
      </c>
      <c r="F31" s="187">
        <f t="shared" si="5"/>
        <v>46044</v>
      </c>
      <c r="G31" s="128">
        <f t="shared" si="6"/>
        <v>4</v>
      </c>
      <c r="H31" s="128">
        <f t="shared" si="7"/>
        <v>22</v>
      </c>
      <c r="I31" s="128">
        <f t="shared" si="8"/>
        <v>4</v>
      </c>
      <c r="J31" s="188">
        <f t="shared" si="9"/>
        <v>46044</v>
      </c>
      <c r="K31" s="128" t="str" cm="1">
        <f t="array" ref="K31">IF(AND(I31&lt;7,INDEX(B_tblFTMatrix,$E31,$H31)="x"),"ft","")</f>
        <v/>
      </c>
      <c r="L31" s="128"/>
      <c r="M31" s="128"/>
      <c r="N31" s="128">
        <f t="shared" si="0"/>
        <v>1</v>
      </c>
      <c r="O31" s="128">
        <f t="shared" si="10"/>
        <v>1</v>
      </c>
      <c r="P31" s="227">
        <f t="shared" si="1"/>
        <v>8</v>
      </c>
      <c r="Q31" s="229" cm="1">
        <f t="array" ref="Q31">SUMPRODUCT((H_tblBGTage=I31)*(H_tblBGMnt=E31)*H_tblBG%)</f>
        <v>1</v>
      </c>
      <c r="R31" s="227">
        <f t="shared" si="11"/>
        <v>8</v>
      </c>
      <c r="S31" s="233"/>
      <c r="T31" s="233"/>
      <c r="U31" s="232" cm="1">
        <f t="array" ref="U31">SUMPRODUCT((JAN!M_Verweiszeile=$H31)*JAN!M_ProdTag*(JAN!M_Monat=$E31))</f>
        <v>0</v>
      </c>
      <c r="V31" s="232" cm="1">
        <f t="array" ref="V31">SUMPRODUCT((JAN!M_Verweiszeile=$H31)*JAN!M_ProdN1*(JAN!M_Monat=$E31))</f>
        <v>0</v>
      </c>
      <c r="W31" s="232" cm="1">
        <f t="array" ref="W31">SUMPRODUCT((JAN!M_Verweiszeile=$H31)*JAN!M_ProdN2*(JAN!M_Monat=$E31))</f>
        <v>0</v>
      </c>
      <c r="X31" s="232" cm="1">
        <f t="array" ref="X31">SUMPRODUCT((JAN!M_Verweiszeile=$H31)*JAN!M_Reise*(JAN!M_Monat=$E31))</f>
        <v>0</v>
      </c>
      <c r="Y31" s="232" cm="1">
        <f t="array" ref="Y31">SUMPRODUCT((JAN!M_Verweiszeile=$H31)*JAN!M_Reiseabzug*(JAN!M_Monat=$E31))</f>
        <v>0</v>
      </c>
      <c r="Z31" s="232">
        <f t="shared" si="12"/>
        <v>0</v>
      </c>
      <c r="AA31" s="232">
        <f t="shared" si="2"/>
        <v>0</v>
      </c>
      <c r="AB31" s="232">
        <f t="shared" si="3"/>
        <v>0</v>
      </c>
      <c r="AC31" s="232">
        <f t="shared" si="13"/>
        <v>0</v>
      </c>
      <c r="AD31" s="232">
        <f t="shared" si="14"/>
        <v>0</v>
      </c>
      <c r="AE31" s="232">
        <f t="shared" si="15"/>
        <v>0</v>
      </c>
    </row>
    <row r="32" spans="3:31" x14ac:dyDescent="0.2">
      <c r="C32" s="128">
        <v>23</v>
      </c>
      <c r="D32" s="186">
        <f t="shared" si="16"/>
        <v>46045</v>
      </c>
      <c r="E32" s="128">
        <f t="shared" si="4"/>
        <v>1</v>
      </c>
      <c r="F32" s="187">
        <f t="shared" si="5"/>
        <v>46045</v>
      </c>
      <c r="G32" s="128">
        <f t="shared" si="6"/>
        <v>4</v>
      </c>
      <c r="H32" s="128">
        <f t="shared" si="7"/>
        <v>23</v>
      </c>
      <c r="I32" s="128">
        <f t="shared" si="8"/>
        <v>5</v>
      </c>
      <c r="J32" s="188">
        <f t="shared" si="9"/>
        <v>46045</v>
      </c>
      <c r="K32" s="128" t="str" cm="1">
        <f t="array" ref="K32">IF(AND(I32&lt;7,INDEX(B_tblFTMatrix,$E32,$H32)="x"),"ft","")</f>
        <v/>
      </c>
      <c r="L32" s="128"/>
      <c r="M32" s="128"/>
      <c r="N32" s="128">
        <f t="shared" si="0"/>
        <v>1</v>
      </c>
      <c r="O32" s="128">
        <f t="shared" si="10"/>
        <v>1</v>
      </c>
      <c r="P32" s="227">
        <f t="shared" si="1"/>
        <v>8</v>
      </c>
      <c r="Q32" s="229" cm="1">
        <f t="array" ref="Q32">SUMPRODUCT((H_tblBGTage=I32)*(H_tblBGMnt=E32)*H_tblBG%)</f>
        <v>1</v>
      </c>
      <c r="R32" s="227">
        <f t="shared" si="11"/>
        <v>8</v>
      </c>
      <c r="S32" s="233"/>
      <c r="T32" s="233"/>
      <c r="U32" s="232" cm="1">
        <f t="array" ref="U32">SUMPRODUCT((JAN!M_Verweiszeile=$H32)*JAN!M_ProdTag*(JAN!M_Monat=$E32))</f>
        <v>0</v>
      </c>
      <c r="V32" s="232" cm="1">
        <f t="array" ref="V32">SUMPRODUCT((JAN!M_Verweiszeile=$H32)*JAN!M_ProdN1*(JAN!M_Monat=$E32))</f>
        <v>0</v>
      </c>
      <c r="W32" s="232" cm="1">
        <f t="array" ref="W32">SUMPRODUCT((JAN!M_Verweiszeile=$H32)*JAN!M_ProdN2*(JAN!M_Monat=$E32))</f>
        <v>0</v>
      </c>
      <c r="X32" s="232" cm="1">
        <f t="array" ref="X32">SUMPRODUCT((JAN!M_Verweiszeile=$H32)*JAN!M_Reise*(JAN!M_Monat=$E32))</f>
        <v>0</v>
      </c>
      <c r="Y32" s="232" cm="1">
        <f t="array" ref="Y32">SUMPRODUCT((JAN!M_Verweiszeile=$H32)*JAN!M_Reiseabzug*(JAN!M_Monat=$E32))</f>
        <v>0</v>
      </c>
      <c r="Z32" s="232">
        <f t="shared" si="12"/>
        <v>0</v>
      </c>
      <c r="AA32" s="232">
        <f t="shared" si="2"/>
        <v>0</v>
      </c>
      <c r="AB32" s="232">
        <f t="shared" si="3"/>
        <v>0</v>
      </c>
      <c r="AC32" s="232">
        <f t="shared" si="13"/>
        <v>0</v>
      </c>
      <c r="AD32" s="232">
        <f t="shared" si="14"/>
        <v>0</v>
      </c>
      <c r="AE32" s="232">
        <f t="shared" si="15"/>
        <v>0</v>
      </c>
    </row>
    <row r="33" spans="3:31" x14ac:dyDescent="0.2">
      <c r="C33" s="128">
        <v>24</v>
      </c>
      <c r="D33" s="186">
        <f t="shared" si="16"/>
        <v>46046</v>
      </c>
      <c r="E33" s="128">
        <f t="shared" si="4"/>
        <v>1</v>
      </c>
      <c r="F33" s="187">
        <f t="shared" si="5"/>
        <v>46046</v>
      </c>
      <c r="G33" s="128">
        <f t="shared" si="6"/>
        <v>4</v>
      </c>
      <c r="H33" s="128">
        <f t="shared" si="7"/>
        <v>24</v>
      </c>
      <c r="I33" s="128">
        <f t="shared" si="8"/>
        <v>6</v>
      </c>
      <c r="J33" s="188">
        <f t="shared" si="9"/>
        <v>46046</v>
      </c>
      <c r="K33" s="128" t="str" cm="1">
        <f t="array" ref="K33">IF(AND(I33&lt;7,INDEX(B_tblFTMatrix,$E33,$H33)="x"),"ft","")</f>
        <v/>
      </c>
      <c r="L33" s="128"/>
      <c r="M33" s="128"/>
      <c r="N33" s="128">
        <f t="shared" si="0"/>
        <v>0</v>
      </c>
      <c r="O33" s="128">
        <f t="shared" si="10"/>
        <v>0</v>
      </c>
      <c r="P33" s="227">
        <f t="shared" si="1"/>
        <v>0</v>
      </c>
      <c r="Q33" s="229" cm="1">
        <f t="array" ref="Q33">SUMPRODUCT((H_tblBGTage=I33)*(H_tblBGMnt=E33)*H_tblBG%)</f>
        <v>0</v>
      </c>
      <c r="R33" s="227">
        <f t="shared" si="11"/>
        <v>0</v>
      </c>
      <c r="S33" s="233"/>
      <c r="T33" s="233"/>
      <c r="U33" s="232" cm="1">
        <f t="array" ref="U33">SUMPRODUCT((JAN!M_Verweiszeile=$H33)*JAN!M_ProdTag*(JAN!M_Monat=$E33))</f>
        <v>0</v>
      </c>
      <c r="V33" s="232" cm="1">
        <f t="array" ref="V33">SUMPRODUCT((JAN!M_Verweiszeile=$H33)*JAN!M_ProdN1*(JAN!M_Monat=$E33))</f>
        <v>0</v>
      </c>
      <c r="W33" s="232" cm="1">
        <f t="array" ref="W33">SUMPRODUCT((JAN!M_Verweiszeile=$H33)*JAN!M_ProdN2*(JAN!M_Monat=$E33))</f>
        <v>0</v>
      </c>
      <c r="X33" s="232" cm="1">
        <f t="array" ref="X33">SUMPRODUCT((JAN!M_Verweiszeile=$H33)*JAN!M_Reise*(JAN!M_Monat=$E33))</f>
        <v>0</v>
      </c>
      <c r="Y33" s="232" cm="1">
        <f t="array" ref="Y33">SUMPRODUCT((JAN!M_Verweiszeile=$H33)*JAN!M_Reiseabzug*(JAN!M_Monat=$E33))</f>
        <v>0</v>
      </c>
      <c r="Z33" s="232">
        <f t="shared" si="12"/>
        <v>0</v>
      </c>
      <c r="AA33" s="232">
        <f t="shared" si="2"/>
        <v>0</v>
      </c>
      <c r="AB33" s="232">
        <f t="shared" si="3"/>
        <v>0</v>
      </c>
      <c r="AC33" s="232">
        <f t="shared" si="13"/>
        <v>0</v>
      </c>
      <c r="AD33" s="232">
        <f t="shared" si="14"/>
        <v>0</v>
      </c>
      <c r="AE33" s="232">
        <f t="shared" si="15"/>
        <v>0</v>
      </c>
    </row>
    <row r="34" spans="3:31" x14ac:dyDescent="0.2">
      <c r="C34" s="128">
        <v>25</v>
      </c>
      <c r="D34" s="186">
        <f t="shared" si="16"/>
        <v>46047</v>
      </c>
      <c r="E34" s="128">
        <f t="shared" si="4"/>
        <v>1</v>
      </c>
      <c r="F34" s="187">
        <f t="shared" si="5"/>
        <v>46047</v>
      </c>
      <c r="G34" s="128">
        <f t="shared" si="6"/>
        <v>4</v>
      </c>
      <c r="H34" s="128">
        <f t="shared" si="7"/>
        <v>25</v>
      </c>
      <c r="I34" s="128">
        <f t="shared" si="8"/>
        <v>7</v>
      </c>
      <c r="J34" s="188">
        <f t="shared" si="9"/>
        <v>46047</v>
      </c>
      <c r="K34" s="128" t="str" cm="1">
        <f t="array" ref="K34">IF(AND(I34&lt;7,INDEX(B_tblFTMatrix,$E34,$H34)="x"),"ft","")</f>
        <v/>
      </c>
      <c r="L34" s="128"/>
      <c r="M34" s="128"/>
      <c r="N34" s="128">
        <f t="shared" si="0"/>
        <v>0</v>
      </c>
      <c r="O34" s="128">
        <f t="shared" si="10"/>
        <v>0</v>
      </c>
      <c r="P34" s="227">
        <f t="shared" si="1"/>
        <v>0</v>
      </c>
      <c r="Q34" s="229" cm="1">
        <f t="array" ref="Q34">SUMPRODUCT((H_tblBGTage=I34)*(H_tblBGMnt=E34)*H_tblBG%)</f>
        <v>0</v>
      </c>
      <c r="R34" s="227">
        <f t="shared" si="11"/>
        <v>0</v>
      </c>
      <c r="S34" s="233"/>
      <c r="T34" s="233"/>
      <c r="U34" s="232" cm="1">
        <f t="array" ref="U34">SUMPRODUCT((JAN!M_Verweiszeile=$H34)*JAN!M_ProdTag*(JAN!M_Monat=$E34))</f>
        <v>0</v>
      </c>
      <c r="V34" s="232" cm="1">
        <f t="array" ref="V34">SUMPRODUCT((JAN!M_Verweiszeile=$H34)*JAN!M_ProdN1*(JAN!M_Monat=$E34))</f>
        <v>0</v>
      </c>
      <c r="W34" s="232" cm="1">
        <f t="array" ref="W34">SUMPRODUCT((JAN!M_Verweiszeile=$H34)*JAN!M_ProdN2*(JAN!M_Monat=$E34))</f>
        <v>0</v>
      </c>
      <c r="X34" s="232" cm="1">
        <f t="array" ref="X34">SUMPRODUCT((JAN!M_Verweiszeile=$H34)*JAN!M_Reise*(JAN!M_Monat=$E34))</f>
        <v>0</v>
      </c>
      <c r="Y34" s="232" cm="1">
        <f t="array" ref="Y34">SUMPRODUCT((JAN!M_Verweiszeile=$H34)*JAN!M_Reiseabzug*(JAN!M_Monat=$E34))</f>
        <v>0</v>
      </c>
      <c r="Z34" s="232">
        <f t="shared" si="12"/>
        <v>0</v>
      </c>
      <c r="AA34" s="232">
        <f t="shared" si="2"/>
        <v>0</v>
      </c>
      <c r="AB34" s="232">
        <f t="shared" si="3"/>
        <v>0</v>
      </c>
      <c r="AC34" s="232">
        <f t="shared" si="13"/>
        <v>0</v>
      </c>
      <c r="AD34" s="232">
        <f t="shared" si="14"/>
        <v>0</v>
      </c>
      <c r="AE34" s="232">
        <f t="shared" si="15"/>
        <v>0</v>
      </c>
    </row>
    <row r="35" spans="3:31" x14ac:dyDescent="0.2">
      <c r="C35" s="128">
        <v>26</v>
      </c>
      <c r="D35" s="186">
        <f t="shared" si="16"/>
        <v>46048</v>
      </c>
      <c r="E35" s="128">
        <f t="shared" si="4"/>
        <v>1</v>
      </c>
      <c r="F35" s="187">
        <f t="shared" si="5"/>
        <v>46048</v>
      </c>
      <c r="G35" s="128">
        <f t="shared" si="6"/>
        <v>5</v>
      </c>
      <c r="H35" s="128">
        <f t="shared" si="7"/>
        <v>26</v>
      </c>
      <c r="I35" s="128">
        <f t="shared" si="8"/>
        <v>1</v>
      </c>
      <c r="J35" s="188">
        <f t="shared" si="9"/>
        <v>46048</v>
      </c>
      <c r="K35" s="128" t="str" cm="1">
        <f t="array" ref="K35">IF(AND(I35&lt;7,INDEX(B_tblFTMatrix,$E35,$H35)="x"),"ft","")</f>
        <v/>
      </c>
      <c r="L35" s="128"/>
      <c r="M35" s="128"/>
      <c r="N35" s="128">
        <f t="shared" si="0"/>
        <v>1</v>
      </c>
      <c r="O35" s="128">
        <f t="shared" si="10"/>
        <v>1</v>
      </c>
      <c r="P35" s="227">
        <f t="shared" si="1"/>
        <v>8</v>
      </c>
      <c r="Q35" s="229" cm="1">
        <f t="array" ref="Q35">SUMPRODUCT((H_tblBGTage=I35)*(H_tblBGMnt=E35)*H_tblBG%)</f>
        <v>1</v>
      </c>
      <c r="R35" s="227">
        <f t="shared" si="11"/>
        <v>8</v>
      </c>
      <c r="S35" s="233"/>
      <c r="T35" s="233"/>
      <c r="U35" s="232" cm="1">
        <f t="array" ref="U35">SUMPRODUCT((JAN!M_Verweiszeile=$H35)*JAN!M_ProdTag*(JAN!M_Monat=$E35))</f>
        <v>0</v>
      </c>
      <c r="V35" s="232" cm="1">
        <f t="array" ref="V35">SUMPRODUCT((JAN!M_Verweiszeile=$H35)*JAN!M_ProdN1*(JAN!M_Monat=$E35))</f>
        <v>0</v>
      </c>
      <c r="W35" s="232" cm="1">
        <f t="array" ref="W35">SUMPRODUCT((JAN!M_Verweiszeile=$H35)*JAN!M_ProdN2*(JAN!M_Monat=$E35))</f>
        <v>0</v>
      </c>
      <c r="X35" s="232" cm="1">
        <f t="array" ref="X35">SUMPRODUCT((JAN!M_Verweiszeile=$H35)*JAN!M_Reise*(JAN!M_Monat=$E35))</f>
        <v>0</v>
      </c>
      <c r="Y35" s="232" cm="1">
        <f t="array" ref="Y35">SUMPRODUCT((JAN!M_Verweiszeile=$H35)*JAN!M_Reiseabzug*(JAN!M_Monat=$E35))</f>
        <v>0</v>
      </c>
      <c r="Z35" s="232">
        <f t="shared" si="12"/>
        <v>0</v>
      </c>
      <c r="AA35" s="232">
        <f t="shared" si="2"/>
        <v>0</v>
      </c>
      <c r="AB35" s="232">
        <f t="shared" si="3"/>
        <v>0</v>
      </c>
      <c r="AC35" s="232">
        <f t="shared" si="13"/>
        <v>0</v>
      </c>
      <c r="AD35" s="232">
        <f t="shared" si="14"/>
        <v>0</v>
      </c>
      <c r="AE35" s="232">
        <f t="shared" si="15"/>
        <v>0</v>
      </c>
    </row>
    <row r="36" spans="3:31" x14ac:dyDescent="0.2">
      <c r="C36" s="128">
        <v>27</v>
      </c>
      <c r="D36" s="186">
        <f t="shared" si="16"/>
        <v>46049</v>
      </c>
      <c r="E36" s="128">
        <f t="shared" si="4"/>
        <v>1</v>
      </c>
      <c r="F36" s="187">
        <f t="shared" si="5"/>
        <v>46049</v>
      </c>
      <c r="G36" s="128">
        <f t="shared" si="6"/>
        <v>5</v>
      </c>
      <c r="H36" s="128">
        <f t="shared" si="7"/>
        <v>27</v>
      </c>
      <c r="I36" s="128">
        <f t="shared" si="8"/>
        <v>2</v>
      </c>
      <c r="J36" s="188">
        <f t="shared" si="9"/>
        <v>46049</v>
      </c>
      <c r="K36" s="128" t="str" cm="1">
        <f t="array" ref="K36">IF(AND(I36&lt;7,INDEX(B_tblFTMatrix,$E36,$H36)="x"),"ft","")</f>
        <v/>
      </c>
      <c r="L36" s="128"/>
      <c r="M36" s="128"/>
      <c r="N36" s="128">
        <f t="shared" si="0"/>
        <v>1</v>
      </c>
      <c r="O36" s="128">
        <f t="shared" si="10"/>
        <v>1</v>
      </c>
      <c r="P36" s="227">
        <f t="shared" si="1"/>
        <v>8</v>
      </c>
      <c r="Q36" s="229" cm="1">
        <f t="array" ref="Q36">SUMPRODUCT((H_tblBGTage=I36)*(H_tblBGMnt=E36)*H_tblBG%)</f>
        <v>1</v>
      </c>
      <c r="R36" s="227">
        <f t="shared" si="11"/>
        <v>8</v>
      </c>
      <c r="S36" s="233"/>
      <c r="T36" s="233"/>
      <c r="U36" s="232" cm="1">
        <f t="array" ref="U36">SUMPRODUCT((JAN!M_Verweiszeile=$H36)*JAN!M_ProdTag*(JAN!M_Monat=$E36))</f>
        <v>0</v>
      </c>
      <c r="V36" s="232" cm="1">
        <f t="array" ref="V36">SUMPRODUCT((JAN!M_Verweiszeile=$H36)*JAN!M_ProdN1*(JAN!M_Monat=$E36))</f>
        <v>0</v>
      </c>
      <c r="W36" s="232" cm="1">
        <f t="array" ref="W36">SUMPRODUCT((JAN!M_Verweiszeile=$H36)*JAN!M_ProdN2*(JAN!M_Monat=$E36))</f>
        <v>0</v>
      </c>
      <c r="X36" s="232" cm="1">
        <f t="array" ref="X36">SUMPRODUCT((JAN!M_Verweiszeile=$H36)*JAN!M_Reise*(JAN!M_Monat=$E36))</f>
        <v>0</v>
      </c>
      <c r="Y36" s="232" cm="1">
        <f t="array" ref="Y36">SUMPRODUCT((JAN!M_Verweiszeile=$H36)*JAN!M_Reiseabzug*(JAN!M_Monat=$E36))</f>
        <v>0</v>
      </c>
      <c r="Z36" s="232">
        <f t="shared" si="12"/>
        <v>0</v>
      </c>
      <c r="AA36" s="232">
        <f t="shared" si="2"/>
        <v>0</v>
      </c>
      <c r="AB36" s="232">
        <f t="shared" si="3"/>
        <v>0</v>
      </c>
      <c r="AC36" s="232">
        <f t="shared" si="13"/>
        <v>0</v>
      </c>
      <c r="AD36" s="232">
        <f t="shared" si="14"/>
        <v>0</v>
      </c>
      <c r="AE36" s="232">
        <f t="shared" si="15"/>
        <v>0</v>
      </c>
    </row>
    <row r="37" spans="3:31" x14ac:dyDescent="0.2">
      <c r="C37" s="128">
        <v>28</v>
      </c>
      <c r="D37" s="186">
        <f t="shared" si="16"/>
        <v>46050</v>
      </c>
      <c r="E37" s="128">
        <f t="shared" si="4"/>
        <v>1</v>
      </c>
      <c r="F37" s="187">
        <f t="shared" si="5"/>
        <v>46050</v>
      </c>
      <c r="G37" s="128">
        <f t="shared" si="6"/>
        <v>5</v>
      </c>
      <c r="H37" s="128">
        <f t="shared" si="7"/>
        <v>28</v>
      </c>
      <c r="I37" s="128">
        <f t="shared" si="8"/>
        <v>3</v>
      </c>
      <c r="J37" s="188">
        <f t="shared" si="9"/>
        <v>46050</v>
      </c>
      <c r="K37" s="128" t="str" cm="1">
        <f t="array" ref="K37">IF(AND(I37&lt;7,INDEX(B_tblFTMatrix,$E37,$H37)="x"),"ft","")</f>
        <v/>
      </c>
      <c r="L37" s="128"/>
      <c r="M37" s="128"/>
      <c r="N37" s="128">
        <f t="shared" si="0"/>
        <v>1</v>
      </c>
      <c r="O37" s="128">
        <f t="shared" si="10"/>
        <v>1</v>
      </c>
      <c r="P37" s="227">
        <f t="shared" si="1"/>
        <v>8</v>
      </c>
      <c r="Q37" s="229" cm="1">
        <f t="array" ref="Q37">SUMPRODUCT((H_tblBGTage=I37)*(H_tblBGMnt=E37)*H_tblBG%)</f>
        <v>1</v>
      </c>
      <c r="R37" s="227">
        <f t="shared" si="11"/>
        <v>8</v>
      </c>
      <c r="S37" s="233"/>
      <c r="T37" s="233"/>
      <c r="U37" s="232" cm="1">
        <f t="array" ref="U37">SUMPRODUCT((JAN!M_Verweiszeile=$H37)*JAN!M_ProdTag*(JAN!M_Monat=$E37))</f>
        <v>0</v>
      </c>
      <c r="V37" s="232" cm="1">
        <f t="array" ref="V37">SUMPRODUCT((JAN!M_Verweiszeile=$H37)*JAN!M_ProdN1*(JAN!M_Monat=$E37))</f>
        <v>0</v>
      </c>
      <c r="W37" s="232" cm="1">
        <f t="array" ref="W37">SUMPRODUCT((JAN!M_Verweiszeile=$H37)*JAN!M_ProdN2*(JAN!M_Monat=$E37))</f>
        <v>0</v>
      </c>
      <c r="X37" s="232" cm="1">
        <f t="array" ref="X37">SUMPRODUCT((JAN!M_Verweiszeile=$H37)*JAN!M_Reise*(JAN!M_Monat=$E37))</f>
        <v>0</v>
      </c>
      <c r="Y37" s="232" cm="1">
        <f t="array" ref="Y37">SUMPRODUCT((JAN!M_Verweiszeile=$H37)*JAN!M_Reiseabzug*(JAN!M_Monat=$E37))</f>
        <v>0</v>
      </c>
      <c r="Z37" s="232">
        <f t="shared" si="12"/>
        <v>0</v>
      </c>
      <c r="AA37" s="232">
        <f t="shared" si="2"/>
        <v>0</v>
      </c>
      <c r="AB37" s="232">
        <f t="shared" si="3"/>
        <v>0</v>
      </c>
      <c r="AC37" s="232">
        <f t="shared" si="13"/>
        <v>0</v>
      </c>
      <c r="AD37" s="232">
        <f t="shared" si="14"/>
        <v>0</v>
      </c>
      <c r="AE37" s="232">
        <f t="shared" si="15"/>
        <v>0</v>
      </c>
    </row>
    <row r="38" spans="3:31" x14ac:dyDescent="0.2">
      <c r="C38" s="128">
        <v>29</v>
      </c>
      <c r="D38" s="186">
        <f t="shared" si="16"/>
        <v>46051</v>
      </c>
      <c r="E38" s="128">
        <f t="shared" si="4"/>
        <v>1</v>
      </c>
      <c r="F38" s="187">
        <f t="shared" si="5"/>
        <v>46051</v>
      </c>
      <c r="G38" s="128">
        <f t="shared" si="6"/>
        <v>5</v>
      </c>
      <c r="H38" s="128">
        <f t="shared" si="7"/>
        <v>29</v>
      </c>
      <c r="I38" s="128">
        <f t="shared" si="8"/>
        <v>4</v>
      </c>
      <c r="J38" s="188">
        <f t="shared" si="9"/>
        <v>46051</v>
      </c>
      <c r="K38" s="128" t="str" cm="1">
        <f t="array" ref="K38">IF(AND(I38&lt;7,INDEX(B_tblFTMatrix,$E38,$H38)="x"),"ft","")</f>
        <v/>
      </c>
      <c r="L38" s="128"/>
      <c r="M38" s="128"/>
      <c r="N38" s="128">
        <f t="shared" si="0"/>
        <v>1</v>
      </c>
      <c r="O38" s="128">
        <f t="shared" si="10"/>
        <v>1</v>
      </c>
      <c r="P38" s="227">
        <f t="shared" si="1"/>
        <v>8</v>
      </c>
      <c r="Q38" s="229" cm="1">
        <f t="array" ref="Q38">SUMPRODUCT((H_tblBGTage=I38)*(H_tblBGMnt=E38)*H_tblBG%)</f>
        <v>1</v>
      </c>
      <c r="R38" s="227">
        <f t="shared" si="11"/>
        <v>8</v>
      </c>
      <c r="S38" s="233"/>
      <c r="T38" s="233"/>
      <c r="U38" s="232" cm="1">
        <f t="array" ref="U38">SUMPRODUCT((JAN!M_Verweiszeile=$H38)*JAN!M_ProdTag*(JAN!M_Monat=$E38))</f>
        <v>0</v>
      </c>
      <c r="V38" s="232" cm="1">
        <f t="array" ref="V38">SUMPRODUCT((JAN!M_Verweiszeile=$H38)*JAN!M_ProdN1*(JAN!M_Monat=$E38))</f>
        <v>0</v>
      </c>
      <c r="W38" s="232" cm="1">
        <f t="array" ref="W38">SUMPRODUCT((JAN!M_Verweiszeile=$H38)*JAN!M_ProdN2*(JAN!M_Monat=$E38))</f>
        <v>0</v>
      </c>
      <c r="X38" s="232" cm="1">
        <f t="array" ref="X38">SUMPRODUCT((JAN!M_Verweiszeile=$H38)*JAN!M_Reise*(JAN!M_Monat=$E38))</f>
        <v>0</v>
      </c>
      <c r="Y38" s="232" cm="1">
        <f t="array" ref="Y38">SUMPRODUCT((JAN!M_Verweiszeile=$H38)*JAN!M_Reiseabzug*(JAN!M_Monat=$E38))</f>
        <v>0</v>
      </c>
      <c r="Z38" s="232">
        <f t="shared" si="12"/>
        <v>0</v>
      </c>
      <c r="AA38" s="232">
        <f t="shared" si="2"/>
        <v>0</v>
      </c>
      <c r="AB38" s="232">
        <f t="shared" si="3"/>
        <v>0</v>
      </c>
      <c r="AC38" s="232">
        <f t="shared" si="13"/>
        <v>0</v>
      </c>
      <c r="AD38" s="232">
        <f t="shared" si="14"/>
        <v>0</v>
      </c>
      <c r="AE38" s="232">
        <f t="shared" si="15"/>
        <v>0</v>
      </c>
    </row>
    <row r="39" spans="3:31" x14ac:dyDescent="0.2">
      <c r="C39" s="128">
        <v>30</v>
      </c>
      <c r="D39" s="186">
        <f t="shared" si="16"/>
        <v>46052</v>
      </c>
      <c r="E39" s="128">
        <f t="shared" si="4"/>
        <v>1</v>
      </c>
      <c r="F39" s="187">
        <f t="shared" si="5"/>
        <v>46052</v>
      </c>
      <c r="G39" s="128">
        <f t="shared" si="6"/>
        <v>5</v>
      </c>
      <c r="H39" s="128">
        <f t="shared" si="7"/>
        <v>30</v>
      </c>
      <c r="I39" s="128">
        <f t="shared" si="8"/>
        <v>5</v>
      </c>
      <c r="J39" s="188">
        <f t="shared" si="9"/>
        <v>46052</v>
      </c>
      <c r="K39" s="128" t="str" cm="1">
        <f t="array" ref="K39">IF(AND(I39&lt;7,INDEX(B_tblFTMatrix,$E39,$H39)="x"),"ft","")</f>
        <v/>
      </c>
      <c r="L39" s="128"/>
      <c r="M39" s="128"/>
      <c r="N39" s="128">
        <f t="shared" si="0"/>
        <v>1</v>
      </c>
      <c r="O39" s="128">
        <f t="shared" si="10"/>
        <v>1</v>
      </c>
      <c r="P39" s="227">
        <f t="shared" si="1"/>
        <v>8</v>
      </c>
      <c r="Q39" s="229" cm="1">
        <f t="array" ref="Q39">SUMPRODUCT((H_tblBGTage=I39)*(H_tblBGMnt=E39)*H_tblBG%)</f>
        <v>1</v>
      </c>
      <c r="R39" s="227">
        <f t="shared" si="11"/>
        <v>8</v>
      </c>
      <c r="S39" s="233"/>
      <c r="T39" s="233"/>
      <c r="U39" s="232" cm="1">
        <f t="array" ref="U39">SUMPRODUCT((JAN!M_Verweiszeile=$H39)*JAN!M_ProdTag*(JAN!M_Monat=$E39))</f>
        <v>0</v>
      </c>
      <c r="V39" s="232" cm="1">
        <f t="array" ref="V39">SUMPRODUCT((JAN!M_Verweiszeile=$H39)*JAN!M_ProdN1*(JAN!M_Monat=$E39))</f>
        <v>0</v>
      </c>
      <c r="W39" s="232" cm="1">
        <f t="array" ref="W39">SUMPRODUCT((JAN!M_Verweiszeile=$H39)*JAN!M_ProdN2*(JAN!M_Monat=$E39))</f>
        <v>0</v>
      </c>
      <c r="X39" s="232" cm="1">
        <f t="array" ref="X39">SUMPRODUCT((JAN!M_Verweiszeile=$H39)*JAN!M_Reise*(JAN!M_Monat=$E39))</f>
        <v>0</v>
      </c>
      <c r="Y39" s="232" cm="1">
        <f t="array" ref="Y39">SUMPRODUCT((JAN!M_Verweiszeile=$H39)*JAN!M_Reiseabzug*(JAN!M_Monat=$E39))</f>
        <v>0</v>
      </c>
      <c r="Z39" s="232">
        <f t="shared" si="12"/>
        <v>0</v>
      </c>
      <c r="AA39" s="232">
        <f t="shared" si="2"/>
        <v>0</v>
      </c>
      <c r="AB39" s="232">
        <f t="shared" si="3"/>
        <v>0</v>
      </c>
      <c r="AC39" s="232">
        <f t="shared" si="13"/>
        <v>0</v>
      </c>
      <c r="AD39" s="232">
        <f t="shared" si="14"/>
        <v>0</v>
      </c>
      <c r="AE39" s="232">
        <f t="shared" si="15"/>
        <v>0</v>
      </c>
    </row>
    <row r="40" spans="3:31" x14ac:dyDescent="0.2">
      <c r="C40" s="128">
        <v>31</v>
      </c>
      <c r="D40" s="186">
        <f t="shared" si="16"/>
        <v>46053</v>
      </c>
      <c r="E40" s="128">
        <f t="shared" si="4"/>
        <v>1</v>
      </c>
      <c r="F40" s="187">
        <f t="shared" si="5"/>
        <v>46053</v>
      </c>
      <c r="G40" s="128">
        <f t="shared" si="6"/>
        <v>5</v>
      </c>
      <c r="H40" s="128">
        <f t="shared" si="7"/>
        <v>31</v>
      </c>
      <c r="I40" s="128">
        <f t="shared" si="8"/>
        <v>6</v>
      </c>
      <c r="J40" s="188">
        <f t="shared" si="9"/>
        <v>46053</v>
      </c>
      <c r="K40" s="128" t="str" cm="1">
        <f t="array" ref="K40">IF(AND(I40&lt;7,INDEX(B_tblFTMatrix,$E40,$H40)="x"),"ft","")</f>
        <v/>
      </c>
      <c r="L40" s="128"/>
      <c r="M40" s="128"/>
      <c r="N40" s="128">
        <f t="shared" si="0"/>
        <v>0</v>
      </c>
      <c r="O40" s="128">
        <f t="shared" si="10"/>
        <v>0</v>
      </c>
      <c r="P40" s="227">
        <f t="shared" si="1"/>
        <v>0</v>
      </c>
      <c r="Q40" s="229" cm="1">
        <f t="array" ref="Q40">SUMPRODUCT((H_tblBGTage=I40)*(H_tblBGMnt=E40)*H_tblBG%)</f>
        <v>0</v>
      </c>
      <c r="R40" s="227">
        <f t="shared" si="11"/>
        <v>0</v>
      </c>
      <c r="S40" s="233"/>
      <c r="T40" s="233"/>
      <c r="U40" s="232" cm="1">
        <f t="array" ref="U40">SUMPRODUCT((JAN!M_Verweiszeile=$H40)*JAN!M_ProdTag*(JAN!M_Monat=$E40))</f>
        <v>0</v>
      </c>
      <c r="V40" s="232" cm="1">
        <f t="array" ref="V40">SUMPRODUCT((JAN!M_Verweiszeile=$H40)*JAN!M_ProdN1*(JAN!M_Monat=$E40))</f>
        <v>0</v>
      </c>
      <c r="W40" s="232" cm="1">
        <f t="array" ref="W40">SUMPRODUCT((JAN!M_Verweiszeile=$H40)*JAN!M_ProdN2*(JAN!M_Monat=$E40))</f>
        <v>0</v>
      </c>
      <c r="X40" s="232" cm="1">
        <f t="array" ref="X40">SUMPRODUCT((JAN!M_Verweiszeile=$H40)*JAN!M_Reise*(JAN!M_Monat=$E40))</f>
        <v>0</v>
      </c>
      <c r="Y40" s="232" cm="1">
        <f t="array" ref="Y40">SUMPRODUCT((JAN!M_Verweiszeile=$H40)*JAN!M_Reiseabzug*(JAN!M_Monat=$E40))</f>
        <v>0</v>
      </c>
      <c r="Z40" s="232">
        <f t="shared" si="12"/>
        <v>0</v>
      </c>
      <c r="AA40" s="232">
        <f t="shared" si="2"/>
        <v>0</v>
      </c>
      <c r="AB40" s="232">
        <f t="shared" si="3"/>
        <v>0</v>
      </c>
      <c r="AC40" s="232">
        <f t="shared" si="13"/>
        <v>0</v>
      </c>
      <c r="AD40" s="232">
        <f t="shared" si="14"/>
        <v>0</v>
      </c>
      <c r="AE40" s="232">
        <f t="shared" si="15"/>
        <v>0</v>
      </c>
    </row>
    <row r="41" spans="3:31" x14ac:dyDescent="0.2">
      <c r="C41" s="128">
        <v>32</v>
      </c>
      <c r="D41" s="186">
        <f t="shared" si="16"/>
        <v>46054</v>
      </c>
      <c r="E41" s="128">
        <f t="shared" si="4"/>
        <v>2</v>
      </c>
      <c r="F41" s="187">
        <f t="shared" si="5"/>
        <v>46054</v>
      </c>
      <c r="G41" s="128">
        <f t="shared" si="6"/>
        <v>5</v>
      </c>
      <c r="H41" s="128">
        <f t="shared" si="7"/>
        <v>1</v>
      </c>
      <c r="I41" s="128">
        <f t="shared" si="8"/>
        <v>7</v>
      </c>
      <c r="J41" s="188">
        <f t="shared" si="9"/>
        <v>46054</v>
      </c>
      <c r="K41" s="128" t="str" cm="1">
        <f t="array" ref="K41">IF(AND(I41&lt;7,INDEX(B_tblFTMatrix,$E41,$H41)="x"),"ft","")</f>
        <v/>
      </c>
      <c r="L41" s="128"/>
      <c r="M41" s="128"/>
      <c r="N41" s="128">
        <f t="shared" si="0"/>
        <v>0</v>
      </c>
      <c r="O41" s="128">
        <f t="shared" si="10"/>
        <v>0</v>
      </c>
      <c r="P41" s="227">
        <f t="shared" si="1"/>
        <v>0</v>
      </c>
      <c r="Q41" s="229" cm="1">
        <f t="array" ref="Q41">SUMPRODUCT((H_tblBGTage=I41)*(H_tblBGMnt=E41)*H_tblBG%)</f>
        <v>0</v>
      </c>
      <c r="R41" s="227">
        <f t="shared" si="11"/>
        <v>0</v>
      </c>
      <c r="S41" s="233"/>
      <c r="T41" s="233"/>
      <c r="U41" s="311" cm="1">
        <f t="array" ref="U41">SUMPRODUCT((FEV!M_Verweiszeile=$H41)*FEV!M_ProdTag*(FEV!M_Monat=$E41))</f>
        <v>0</v>
      </c>
      <c r="V41" s="232" cm="1">
        <f t="array" ref="V41">SUMPRODUCT((FEV!M_Verweiszeile=$H41)*FEV!M_ProdN1*(FEV!M_Monat=$E41))</f>
        <v>0</v>
      </c>
      <c r="W41" s="232" cm="1">
        <f t="array" ref="W41">SUMPRODUCT((FEV!M_Verweiszeile=$H41)*FEV!M_ProdN2*(FEV!M_Monat=$E41))</f>
        <v>0</v>
      </c>
      <c r="X41" s="232" cm="1">
        <f t="array" ref="X41">SUMPRODUCT((FEV!M_Verweiszeile=$H41)*FEV!M_Reise*(FEV!M_Monat=$E41))</f>
        <v>0</v>
      </c>
      <c r="Y41" s="232" cm="1">
        <f t="array" ref="Y41">SUMPRODUCT((FEV!M_Verweiszeile=$H41)*FEV!M_Reiseabzug*(FEV!M_Monat=$E41))</f>
        <v>0</v>
      </c>
      <c r="Z41" s="232">
        <f t="shared" si="12"/>
        <v>0</v>
      </c>
      <c r="AA41" s="232">
        <f t="shared" si="2"/>
        <v>0</v>
      </c>
      <c r="AB41" s="232">
        <f t="shared" si="3"/>
        <v>0</v>
      </c>
      <c r="AC41" s="232">
        <f t="shared" si="13"/>
        <v>0</v>
      </c>
      <c r="AD41" s="232">
        <f t="shared" si="14"/>
        <v>0</v>
      </c>
      <c r="AE41" s="232">
        <f t="shared" si="15"/>
        <v>0</v>
      </c>
    </row>
    <row r="42" spans="3:31" x14ac:dyDescent="0.2">
      <c r="C42" s="128">
        <v>33</v>
      </c>
      <c r="D42" s="186">
        <f t="shared" si="16"/>
        <v>46055</v>
      </c>
      <c r="E42" s="128">
        <f t="shared" si="4"/>
        <v>2</v>
      </c>
      <c r="F42" s="187">
        <f t="shared" si="5"/>
        <v>46055</v>
      </c>
      <c r="G42" s="128">
        <f t="shared" si="6"/>
        <v>6</v>
      </c>
      <c r="H42" s="128">
        <f t="shared" si="7"/>
        <v>2</v>
      </c>
      <c r="I42" s="128">
        <f t="shared" si="8"/>
        <v>1</v>
      </c>
      <c r="J42" s="188">
        <f t="shared" si="9"/>
        <v>46055</v>
      </c>
      <c r="K42" s="128" t="str" cm="1">
        <f t="array" ref="K42">IF(AND(I42&lt;7,INDEX(B_tblFTMatrix,$E42,$H42)="x"),"ft","")</f>
        <v/>
      </c>
      <c r="L42" s="128"/>
      <c r="M42" s="128"/>
      <c r="N42" s="128">
        <f t="shared" si="0"/>
        <v>1</v>
      </c>
      <c r="O42" s="128">
        <f t="shared" si="10"/>
        <v>1</v>
      </c>
      <c r="P42" s="227">
        <f t="shared" si="1"/>
        <v>8</v>
      </c>
      <c r="Q42" s="229" cm="1">
        <f t="array" ref="Q42">SUMPRODUCT((H_tblBGTage=I42)*(H_tblBGMnt=E42)*H_tblBG%)</f>
        <v>1</v>
      </c>
      <c r="R42" s="227">
        <f t="shared" si="11"/>
        <v>8</v>
      </c>
      <c r="S42" s="233"/>
      <c r="T42" s="233"/>
      <c r="U42" s="232" cm="1">
        <f t="array" ref="U42">SUMPRODUCT((FEV!M_Verweiszeile=$H42)*FEV!M_ProdTag*(FEV!M_Monat=$E42))</f>
        <v>0</v>
      </c>
      <c r="V42" s="232" cm="1">
        <f t="array" ref="V42">SUMPRODUCT((FEV!M_Verweiszeile=$H42)*FEV!M_ProdN1*(FEV!M_Monat=$E42))</f>
        <v>0</v>
      </c>
      <c r="W42" s="232" cm="1">
        <f t="array" ref="W42">SUMPRODUCT((FEV!M_Verweiszeile=$H42)*FEV!M_ProdN2*(FEV!M_Monat=$E42))</f>
        <v>0</v>
      </c>
      <c r="X42" s="232" cm="1">
        <f t="array" ref="X42">SUMPRODUCT((FEV!M_Verweiszeile=$H42)*FEV!M_Reise*(FEV!M_Monat=$E42))</f>
        <v>0</v>
      </c>
      <c r="Y42" s="232" cm="1">
        <f t="array" ref="Y42">SUMPRODUCT((FEV!M_Verweiszeile=$H42)*FEV!M_Reiseabzug*(FEV!M_Monat=$E42))</f>
        <v>0</v>
      </c>
      <c r="Z42" s="232">
        <f t="shared" si="12"/>
        <v>0</v>
      </c>
      <c r="AA42" s="232">
        <f t="shared" si="2"/>
        <v>0</v>
      </c>
      <c r="AB42" s="232">
        <f t="shared" si="3"/>
        <v>0</v>
      </c>
      <c r="AC42" s="232">
        <f t="shared" si="13"/>
        <v>0</v>
      </c>
      <c r="AD42" s="232">
        <f t="shared" si="14"/>
        <v>0</v>
      </c>
      <c r="AE42" s="232">
        <f t="shared" si="15"/>
        <v>0</v>
      </c>
    </row>
    <row r="43" spans="3:31" x14ac:dyDescent="0.2">
      <c r="C43" s="128">
        <v>34</v>
      </c>
      <c r="D43" s="186">
        <f t="shared" si="16"/>
        <v>46056</v>
      </c>
      <c r="E43" s="128">
        <f t="shared" si="4"/>
        <v>2</v>
      </c>
      <c r="F43" s="187">
        <f t="shared" si="5"/>
        <v>46056</v>
      </c>
      <c r="G43" s="128">
        <f t="shared" si="6"/>
        <v>6</v>
      </c>
      <c r="H43" s="128">
        <f t="shared" si="7"/>
        <v>3</v>
      </c>
      <c r="I43" s="128">
        <f t="shared" si="8"/>
        <v>2</v>
      </c>
      <c r="J43" s="188">
        <f t="shared" si="9"/>
        <v>46056</v>
      </c>
      <c r="K43" s="128" t="str" cm="1">
        <f t="array" ref="K43">IF(AND(I43&lt;7,INDEX(B_tblFTMatrix,$E43,$H43)="x"),"ft","")</f>
        <v/>
      </c>
      <c r="L43" s="128"/>
      <c r="M43" s="128"/>
      <c r="N43" s="128">
        <f t="shared" si="0"/>
        <v>1</v>
      </c>
      <c r="O43" s="128">
        <f t="shared" si="10"/>
        <v>1</v>
      </c>
      <c r="P43" s="227">
        <f t="shared" si="1"/>
        <v>8</v>
      </c>
      <c r="Q43" s="229" cm="1">
        <f t="array" ref="Q43">SUMPRODUCT((H_tblBGTage=I43)*(H_tblBGMnt=E43)*H_tblBG%)</f>
        <v>1</v>
      </c>
      <c r="R43" s="227">
        <f t="shared" si="11"/>
        <v>8</v>
      </c>
      <c r="S43" s="233"/>
      <c r="T43" s="233"/>
      <c r="U43" s="232" cm="1">
        <f t="array" ref="U43">SUMPRODUCT((FEV!M_Verweiszeile=$H43)*FEV!M_ProdTag*(FEV!M_Monat=$E43))</f>
        <v>0</v>
      </c>
      <c r="V43" s="232" cm="1">
        <f t="array" ref="V43">SUMPRODUCT((FEV!M_Verweiszeile=$H43)*FEV!M_ProdN1*(FEV!M_Monat=$E43))</f>
        <v>0</v>
      </c>
      <c r="W43" s="232" cm="1">
        <f t="array" ref="W43">SUMPRODUCT((FEV!M_Verweiszeile=$H43)*FEV!M_ProdN2*(FEV!M_Monat=$E43))</f>
        <v>0</v>
      </c>
      <c r="X43" s="232" cm="1">
        <f t="array" ref="X43">SUMPRODUCT((FEV!M_Verweiszeile=$H43)*FEV!M_Reise*(FEV!M_Monat=$E43))</f>
        <v>0</v>
      </c>
      <c r="Y43" s="232" cm="1">
        <f t="array" ref="Y43">SUMPRODUCT((FEV!M_Verweiszeile=$H43)*FEV!M_Reiseabzug*(FEV!M_Monat=$E43))</f>
        <v>0</v>
      </c>
      <c r="Z43" s="232">
        <f t="shared" si="12"/>
        <v>0</v>
      </c>
      <c r="AA43" s="232">
        <f t="shared" si="2"/>
        <v>0</v>
      </c>
      <c r="AB43" s="232">
        <f t="shared" si="3"/>
        <v>0</v>
      </c>
      <c r="AC43" s="232">
        <f t="shared" si="13"/>
        <v>0</v>
      </c>
      <c r="AD43" s="232">
        <f t="shared" si="14"/>
        <v>0</v>
      </c>
      <c r="AE43" s="232">
        <f t="shared" si="15"/>
        <v>0</v>
      </c>
    </row>
    <row r="44" spans="3:31" x14ac:dyDescent="0.2">
      <c r="C44" s="128">
        <v>35</v>
      </c>
      <c r="D44" s="186">
        <f t="shared" si="16"/>
        <v>46057</v>
      </c>
      <c r="E44" s="128">
        <f t="shared" si="4"/>
        <v>2</v>
      </c>
      <c r="F44" s="187">
        <f t="shared" si="5"/>
        <v>46057</v>
      </c>
      <c r="G44" s="128">
        <f t="shared" si="6"/>
        <v>6</v>
      </c>
      <c r="H44" s="128">
        <f t="shared" si="7"/>
        <v>4</v>
      </c>
      <c r="I44" s="128">
        <f t="shared" si="8"/>
        <v>3</v>
      </c>
      <c r="J44" s="188">
        <f t="shared" si="9"/>
        <v>46057</v>
      </c>
      <c r="K44" s="128" t="str" cm="1">
        <f t="array" ref="K44">IF(AND(I44&lt;7,INDEX(B_tblFTMatrix,$E44,$H44)="x"),"ft","")</f>
        <v/>
      </c>
      <c r="L44" s="128"/>
      <c r="M44" s="128"/>
      <c r="N44" s="128">
        <f t="shared" si="0"/>
        <v>1</v>
      </c>
      <c r="O44" s="128">
        <f t="shared" si="10"/>
        <v>1</v>
      </c>
      <c r="P44" s="227">
        <f t="shared" si="1"/>
        <v>8</v>
      </c>
      <c r="Q44" s="229" cm="1">
        <f t="array" ref="Q44">SUMPRODUCT((H_tblBGTage=I44)*(H_tblBGMnt=E44)*H_tblBG%)</f>
        <v>1</v>
      </c>
      <c r="R44" s="227">
        <f t="shared" si="11"/>
        <v>8</v>
      </c>
      <c r="S44" s="233"/>
      <c r="T44" s="233"/>
      <c r="U44" s="232" cm="1">
        <f t="array" ref="U44">SUMPRODUCT((FEV!M_Verweiszeile=$H44)*FEV!M_ProdTag*(FEV!M_Monat=$E44))</f>
        <v>0</v>
      </c>
      <c r="V44" s="232" cm="1">
        <f t="array" ref="V44">SUMPRODUCT((FEV!M_Verweiszeile=$H44)*FEV!M_ProdN1*(FEV!M_Monat=$E44))</f>
        <v>0</v>
      </c>
      <c r="W44" s="232" cm="1">
        <f t="array" ref="W44">SUMPRODUCT((FEV!M_Verweiszeile=$H44)*FEV!M_ProdN2*(FEV!M_Monat=$E44))</f>
        <v>0</v>
      </c>
      <c r="X44" s="232" cm="1">
        <f t="array" ref="X44">SUMPRODUCT((FEV!M_Verweiszeile=$H44)*FEV!M_Reise*(FEV!M_Monat=$E44))</f>
        <v>0</v>
      </c>
      <c r="Y44" s="232" cm="1">
        <f t="array" ref="Y44">SUMPRODUCT((FEV!M_Verweiszeile=$H44)*FEV!M_Reiseabzug*(FEV!M_Monat=$E44))</f>
        <v>0</v>
      </c>
      <c r="Z44" s="232">
        <f t="shared" si="12"/>
        <v>0</v>
      </c>
      <c r="AA44" s="232">
        <f t="shared" si="2"/>
        <v>0</v>
      </c>
      <c r="AB44" s="232">
        <f t="shared" si="3"/>
        <v>0</v>
      </c>
      <c r="AC44" s="232">
        <f t="shared" si="13"/>
        <v>0</v>
      </c>
      <c r="AD44" s="232">
        <f t="shared" si="14"/>
        <v>0</v>
      </c>
      <c r="AE44" s="232">
        <f t="shared" si="15"/>
        <v>0</v>
      </c>
    </row>
    <row r="45" spans="3:31" x14ac:dyDescent="0.2">
      <c r="C45" s="128">
        <v>36</v>
      </c>
      <c r="D45" s="186">
        <f t="shared" si="16"/>
        <v>46058</v>
      </c>
      <c r="E45" s="128">
        <f t="shared" si="4"/>
        <v>2</v>
      </c>
      <c r="F45" s="187">
        <f t="shared" si="5"/>
        <v>46058</v>
      </c>
      <c r="G45" s="128">
        <f t="shared" si="6"/>
        <v>6</v>
      </c>
      <c r="H45" s="128">
        <f t="shared" si="7"/>
        <v>5</v>
      </c>
      <c r="I45" s="128">
        <f t="shared" si="8"/>
        <v>4</v>
      </c>
      <c r="J45" s="188">
        <f t="shared" si="9"/>
        <v>46058</v>
      </c>
      <c r="K45" s="128" t="str" cm="1">
        <f t="array" ref="K45">IF(AND(I45&lt;7,INDEX(B_tblFTMatrix,$E45,$H45)="x"),"ft","")</f>
        <v/>
      </c>
      <c r="L45" s="128"/>
      <c r="M45" s="128"/>
      <c r="N45" s="128">
        <f t="shared" si="0"/>
        <v>1</v>
      </c>
      <c r="O45" s="128">
        <f t="shared" si="10"/>
        <v>1</v>
      </c>
      <c r="P45" s="227">
        <f t="shared" si="1"/>
        <v>8</v>
      </c>
      <c r="Q45" s="229" cm="1">
        <f t="array" ref="Q45">SUMPRODUCT((H_tblBGTage=I45)*(H_tblBGMnt=E45)*H_tblBG%)</f>
        <v>1</v>
      </c>
      <c r="R45" s="227">
        <f t="shared" si="11"/>
        <v>8</v>
      </c>
      <c r="S45" s="233"/>
      <c r="T45" s="233"/>
      <c r="U45" s="232" cm="1">
        <f t="array" ref="U45">SUMPRODUCT((FEV!M_Verweiszeile=$H45)*FEV!M_ProdTag*(FEV!M_Monat=$E45))</f>
        <v>0</v>
      </c>
      <c r="V45" s="232" cm="1">
        <f t="array" ref="V45">SUMPRODUCT((FEV!M_Verweiszeile=$H45)*FEV!M_ProdN1*(FEV!M_Monat=$E45))</f>
        <v>0</v>
      </c>
      <c r="W45" s="232" cm="1">
        <f t="array" ref="W45">SUMPRODUCT((FEV!M_Verweiszeile=$H45)*FEV!M_ProdN2*(FEV!M_Monat=$E45))</f>
        <v>0</v>
      </c>
      <c r="X45" s="232" cm="1">
        <f t="array" ref="X45">SUMPRODUCT((FEV!M_Verweiszeile=$H45)*FEV!M_Reise*(FEV!M_Monat=$E45))</f>
        <v>0</v>
      </c>
      <c r="Y45" s="232" cm="1">
        <f t="array" ref="Y45">SUMPRODUCT((FEV!M_Verweiszeile=$H45)*FEV!M_Reiseabzug*(FEV!M_Monat=$E45))</f>
        <v>0</v>
      </c>
      <c r="Z45" s="232">
        <f t="shared" si="12"/>
        <v>0</v>
      </c>
      <c r="AA45" s="232">
        <f t="shared" si="2"/>
        <v>0</v>
      </c>
      <c r="AB45" s="232">
        <f t="shared" si="3"/>
        <v>0</v>
      </c>
      <c r="AC45" s="232">
        <f t="shared" si="13"/>
        <v>0</v>
      </c>
      <c r="AD45" s="232">
        <f t="shared" si="14"/>
        <v>0</v>
      </c>
      <c r="AE45" s="232">
        <f t="shared" si="15"/>
        <v>0</v>
      </c>
    </row>
    <row r="46" spans="3:31" x14ac:dyDescent="0.2">
      <c r="C46" s="128">
        <v>37</v>
      </c>
      <c r="D46" s="186">
        <f t="shared" si="16"/>
        <v>46059</v>
      </c>
      <c r="E46" s="128">
        <f t="shared" si="4"/>
        <v>2</v>
      </c>
      <c r="F46" s="187">
        <f t="shared" si="5"/>
        <v>46059</v>
      </c>
      <c r="G46" s="128">
        <f t="shared" si="6"/>
        <v>6</v>
      </c>
      <c r="H46" s="128">
        <f t="shared" si="7"/>
        <v>6</v>
      </c>
      <c r="I46" s="128">
        <f t="shared" si="8"/>
        <v>5</v>
      </c>
      <c r="J46" s="188">
        <f t="shared" si="9"/>
        <v>46059</v>
      </c>
      <c r="K46" s="128" t="str" cm="1">
        <f t="array" ref="K46">IF(AND(I46&lt;7,INDEX(B_tblFTMatrix,$E46,$H46)="x"),"ft","")</f>
        <v/>
      </c>
      <c r="L46" s="128"/>
      <c r="M46" s="128"/>
      <c r="N46" s="128">
        <f t="shared" si="0"/>
        <v>1</v>
      </c>
      <c r="O46" s="128">
        <f t="shared" si="10"/>
        <v>1</v>
      </c>
      <c r="P46" s="227">
        <f t="shared" si="1"/>
        <v>8</v>
      </c>
      <c r="Q46" s="229" cm="1">
        <f t="array" ref="Q46">SUMPRODUCT((H_tblBGTage=I46)*(H_tblBGMnt=E46)*H_tblBG%)</f>
        <v>1</v>
      </c>
      <c r="R46" s="227">
        <f t="shared" si="11"/>
        <v>8</v>
      </c>
      <c r="S46" s="233"/>
      <c r="T46" s="233"/>
      <c r="U46" s="232" cm="1">
        <f t="array" ref="U46">SUMPRODUCT((FEV!M_Verweiszeile=$H46)*FEV!M_ProdTag*(FEV!M_Monat=$E46))</f>
        <v>0</v>
      </c>
      <c r="V46" s="232" cm="1">
        <f t="array" ref="V46">SUMPRODUCT((FEV!M_Verweiszeile=$H46)*FEV!M_ProdN1*(FEV!M_Monat=$E46))</f>
        <v>0</v>
      </c>
      <c r="W46" s="232" cm="1">
        <f t="array" ref="W46">SUMPRODUCT((FEV!M_Verweiszeile=$H46)*FEV!M_ProdN2*(FEV!M_Monat=$E46))</f>
        <v>0</v>
      </c>
      <c r="X46" s="232" cm="1">
        <f t="array" ref="X46">SUMPRODUCT((FEV!M_Verweiszeile=$H46)*FEV!M_Reise*(FEV!M_Monat=$E46))</f>
        <v>0</v>
      </c>
      <c r="Y46" s="232" cm="1">
        <f t="array" ref="Y46">SUMPRODUCT((FEV!M_Verweiszeile=$H46)*FEV!M_Reiseabzug*(FEV!M_Monat=$E46))</f>
        <v>0</v>
      </c>
      <c r="Z46" s="232">
        <f t="shared" si="12"/>
        <v>0</v>
      </c>
      <c r="AA46" s="232">
        <f t="shared" si="2"/>
        <v>0</v>
      </c>
      <c r="AB46" s="232">
        <f t="shared" si="3"/>
        <v>0</v>
      </c>
      <c r="AC46" s="232">
        <f t="shared" si="13"/>
        <v>0</v>
      </c>
      <c r="AD46" s="232">
        <f t="shared" si="14"/>
        <v>0</v>
      </c>
      <c r="AE46" s="232">
        <f t="shared" si="15"/>
        <v>0</v>
      </c>
    </row>
    <row r="47" spans="3:31" x14ac:dyDescent="0.2">
      <c r="C47" s="128">
        <v>38</v>
      </c>
      <c r="D47" s="186">
        <f t="shared" si="16"/>
        <v>46060</v>
      </c>
      <c r="E47" s="128">
        <f t="shared" si="4"/>
        <v>2</v>
      </c>
      <c r="F47" s="187">
        <f t="shared" si="5"/>
        <v>46060</v>
      </c>
      <c r="G47" s="128">
        <f t="shared" si="6"/>
        <v>6</v>
      </c>
      <c r="H47" s="128">
        <f t="shared" si="7"/>
        <v>7</v>
      </c>
      <c r="I47" s="128">
        <f t="shared" si="8"/>
        <v>6</v>
      </c>
      <c r="J47" s="188">
        <f t="shared" si="9"/>
        <v>46060</v>
      </c>
      <c r="K47" s="128" t="str" cm="1">
        <f t="array" ref="K47">IF(AND(I47&lt;7,INDEX(B_tblFTMatrix,$E47,$H47)="x"),"ft","")</f>
        <v/>
      </c>
      <c r="L47" s="128"/>
      <c r="M47" s="128"/>
      <c r="N47" s="128">
        <f t="shared" si="0"/>
        <v>0</v>
      </c>
      <c r="O47" s="128">
        <f t="shared" si="10"/>
        <v>0</v>
      </c>
      <c r="P47" s="227">
        <f t="shared" si="1"/>
        <v>0</v>
      </c>
      <c r="Q47" s="229" cm="1">
        <f t="array" ref="Q47">SUMPRODUCT((H_tblBGTage=I47)*(H_tblBGMnt=E47)*H_tblBG%)</f>
        <v>0</v>
      </c>
      <c r="R47" s="227">
        <f t="shared" si="11"/>
        <v>0</v>
      </c>
      <c r="S47" s="233"/>
      <c r="T47" s="233"/>
      <c r="U47" s="232" cm="1">
        <f t="array" ref="U47">SUMPRODUCT((FEV!M_Verweiszeile=$H47)*FEV!M_ProdTag*(FEV!M_Monat=$E47))</f>
        <v>0</v>
      </c>
      <c r="V47" s="232" cm="1">
        <f t="array" ref="V47">SUMPRODUCT((FEV!M_Verweiszeile=$H47)*FEV!M_ProdN1*(FEV!M_Monat=$E47))</f>
        <v>0</v>
      </c>
      <c r="W47" s="232" cm="1">
        <f t="array" ref="W47">SUMPRODUCT((FEV!M_Verweiszeile=$H47)*FEV!M_ProdN2*(FEV!M_Monat=$E47))</f>
        <v>0</v>
      </c>
      <c r="X47" s="232" cm="1">
        <f t="array" ref="X47">SUMPRODUCT((FEV!M_Verweiszeile=$H47)*FEV!M_Reise*(FEV!M_Monat=$E47))</f>
        <v>0</v>
      </c>
      <c r="Y47" s="232" cm="1">
        <f t="array" ref="Y47">SUMPRODUCT((FEV!M_Verweiszeile=$H47)*FEV!M_Reiseabzug*(FEV!M_Monat=$E47))</f>
        <v>0</v>
      </c>
      <c r="Z47" s="232">
        <f t="shared" si="12"/>
        <v>0</v>
      </c>
      <c r="AA47" s="232">
        <f t="shared" si="2"/>
        <v>0</v>
      </c>
      <c r="AB47" s="232">
        <f t="shared" si="3"/>
        <v>0</v>
      </c>
      <c r="AC47" s="232">
        <f t="shared" si="13"/>
        <v>0</v>
      </c>
      <c r="AD47" s="232">
        <f t="shared" si="14"/>
        <v>0</v>
      </c>
      <c r="AE47" s="232">
        <f t="shared" si="15"/>
        <v>0</v>
      </c>
    </row>
    <row r="48" spans="3:31" x14ac:dyDescent="0.2">
      <c r="C48" s="128">
        <v>39</v>
      </c>
      <c r="D48" s="186">
        <f t="shared" si="16"/>
        <v>46061</v>
      </c>
      <c r="E48" s="128">
        <f t="shared" si="4"/>
        <v>2</v>
      </c>
      <c r="F48" s="187">
        <f t="shared" si="5"/>
        <v>46061</v>
      </c>
      <c r="G48" s="128">
        <f t="shared" si="6"/>
        <v>6</v>
      </c>
      <c r="H48" s="128">
        <f t="shared" si="7"/>
        <v>8</v>
      </c>
      <c r="I48" s="128">
        <f t="shared" si="8"/>
        <v>7</v>
      </c>
      <c r="J48" s="188">
        <f t="shared" si="9"/>
        <v>46061</v>
      </c>
      <c r="K48" s="128" t="str" cm="1">
        <f t="array" ref="K48">IF(AND(I48&lt;7,INDEX(B_tblFTMatrix,$E48,$H48)="x"),"ft","")</f>
        <v/>
      </c>
      <c r="L48" s="128"/>
      <c r="M48" s="128"/>
      <c r="N48" s="128">
        <f t="shared" si="0"/>
        <v>0</v>
      </c>
      <c r="O48" s="128">
        <f t="shared" si="10"/>
        <v>0</v>
      </c>
      <c r="P48" s="227">
        <f t="shared" si="1"/>
        <v>0</v>
      </c>
      <c r="Q48" s="229" cm="1">
        <f t="array" ref="Q48">SUMPRODUCT((H_tblBGTage=I48)*(H_tblBGMnt=E48)*H_tblBG%)</f>
        <v>0</v>
      </c>
      <c r="R48" s="227">
        <f t="shared" si="11"/>
        <v>0</v>
      </c>
      <c r="S48" s="233"/>
      <c r="T48" s="233"/>
      <c r="U48" s="232" cm="1">
        <f t="array" ref="U48">SUMPRODUCT((FEV!M_Verweiszeile=$H48)*FEV!M_ProdTag*(FEV!M_Monat=$E48))</f>
        <v>0</v>
      </c>
      <c r="V48" s="232" cm="1">
        <f t="array" ref="V48">SUMPRODUCT((FEV!M_Verweiszeile=$H48)*FEV!M_ProdN1*(FEV!M_Monat=$E48))</f>
        <v>0</v>
      </c>
      <c r="W48" s="232" cm="1">
        <f t="array" ref="W48">SUMPRODUCT((FEV!M_Verweiszeile=$H48)*FEV!M_ProdN2*(FEV!M_Monat=$E48))</f>
        <v>0</v>
      </c>
      <c r="X48" s="232" cm="1">
        <f t="array" ref="X48">SUMPRODUCT((FEV!M_Verweiszeile=$H48)*FEV!M_Reise*(FEV!M_Monat=$E48))</f>
        <v>0</v>
      </c>
      <c r="Y48" s="232" cm="1">
        <f t="array" ref="Y48">SUMPRODUCT((FEV!M_Verweiszeile=$H48)*FEV!M_Reiseabzug*(FEV!M_Monat=$E48))</f>
        <v>0</v>
      </c>
      <c r="Z48" s="232">
        <f t="shared" si="12"/>
        <v>0</v>
      </c>
      <c r="AA48" s="232">
        <f t="shared" si="2"/>
        <v>0</v>
      </c>
      <c r="AB48" s="232">
        <f t="shared" si="3"/>
        <v>0</v>
      </c>
      <c r="AC48" s="232">
        <f t="shared" si="13"/>
        <v>0</v>
      </c>
      <c r="AD48" s="232">
        <f t="shared" si="14"/>
        <v>0</v>
      </c>
      <c r="AE48" s="232">
        <f t="shared" si="15"/>
        <v>0</v>
      </c>
    </row>
    <row r="49" spans="3:31" x14ac:dyDescent="0.2">
      <c r="C49" s="128">
        <v>40</v>
      </c>
      <c r="D49" s="186">
        <f t="shared" si="16"/>
        <v>46062</v>
      </c>
      <c r="E49" s="128">
        <f t="shared" si="4"/>
        <v>2</v>
      </c>
      <c r="F49" s="187">
        <f t="shared" si="5"/>
        <v>46062</v>
      </c>
      <c r="G49" s="128">
        <f t="shared" si="6"/>
        <v>7</v>
      </c>
      <c r="H49" s="128">
        <f t="shared" si="7"/>
        <v>9</v>
      </c>
      <c r="I49" s="128">
        <f t="shared" si="8"/>
        <v>1</v>
      </c>
      <c r="J49" s="188">
        <f t="shared" si="9"/>
        <v>46062</v>
      </c>
      <c r="K49" s="128" t="str" cm="1">
        <f t="array" ref="K49">IF(AND(I49&lt;7,INDEX(B_tblFTMatrix,$E49,$H49)="x"),"ft","")</f>
        <v/>
      </c>
      <c r="L49" s="128"/>
      <c r="M49" s="128"/>
      <c r="N49" s="128">
        <f t="shared" si="0"/>
        <v>1</v>
      </c>
      <c r="O49" s="128">
        <f t="shared" si="10"/>
        <v>1</v>
      </c>
      <c r="P49" s="227">
        <f t="shared" si="1"/>
        <v>8</v>
      </c>
      <c r="Q49" s="229" cm="1">
        <f t="array" ref="Q49">SUMPRODUCT((H_tblBGTage=I49)*(H_tblBGMnt=E49)*H_tblBG%)</f>
        <v>1</v>
      </c>
      <c r="R49" s="227">
        <f t="shared" si="11"/>
        <v>8</v>
      </c>
      <c r="S49" s="233"/>
      <c r="T49" s="233"/>
      <c r="U49" s="232" cm="1">
        <f t="array" ref="U49">SUMPRODUCT((FEV!M_Verweiszeile=$H49)*FEV!M_ProdTag*(FEV!M_Monat=$E49))</f>
        <v>0</v>
      </c>
      <c r="V49" s="232" cm="1">
        <f t="array" ref="V49">SUMPRODUCT((FEV!M_Verweiszeile=$H49)*FEV!M_ProdN1*(FEV!M_Monat=$E49))</f>
        <v>0</v>
      </c>
      <c r="W49" s="232" cm="1">
        <f t="array" ref="W49">SUMPRODUCT((FEV!M_Verweiszeile=$H49)*FEV!M_ProdN2*(FEV!M_Monat=$E49))</f>
        <v>0</v>
      </c>
      <c r="X49" s="232" cm="1">
        <f t="array" ref="X49">SUMPRODUCT((FEV!M_Verweiszeile=$H49)*FEV!M_Reise*(FEV!M_Monat=$E49))</f>
        <v>0</v>
      </c>
      <c r="Y49" s="232" cm="1">
        <f t="array" ref="Y49">SUMPRODUCT((FEV!M_Verweiszeile=$H49)*FEV!M_Reiseabzug*(FEV!M_Monat=$E49))</f>
        <v>0</v>
      </c>
      <c r="Z49" s="232">
        <f t="shared" si="12"/>
        <v>0</v>
      </c>
      <c r="AA49" s="232">
        <f t="shared" si="2"/>
        <v>0</v>
      </c>
      <c r="AB49" s="232">
        <f t="shared" si="3"/>
        <v>0</v>
      </c>
      <c r="AC49" s="232">
        <f t="shared" si="13"/>
        <v>0</v>
      </c>
      <c r="AD49" s="232">
        <f t="shared" si="14"/>
        <v>0</v>
      </c>
      <c r="AE49" s="232">
        <f t="shared" si="15"/>
        <v>0</v>
      </c>
    </row>
    <row r="50" spans="3:31" x14ac:dyDescent="0.2">
      <c r="C50" s="128">
        <v>41</v>
      </c>
      <c r="D50" s="186">
        <f t="shared" si="16"/>
        <v>46063</v>
      </c>
      <c r="E50" s="128">
        <f t="shared" si="4"/>
        <v>2</v>
      </c>
      <c r="F50" s="187">
        <f t="shared" si="5"/>
        <v>46063</v>
      </c>
      <c r="G50" s="128">
        <f t="shared" si="6"/>
        <v>7</v>
      </c>
      <c r="H50" s="128">
        <f t="shared" si="7"/>
        <v>10</v>
      </c>
      <c r="I50" s="128">
        <f t="shared" si="8"/>
        <v>2</v>
      </c>
      <c r="J50" s="188">
        <f t="shared" si="9"/>
        <v>46063</v>
      </c>
      <c r="K50" s="128" t="str" cm="1">
        <f t="array" ref="K50">IF(AND(I50&lt;7,INDEX(B_tblFTMatrix,$E50,$H50)="x"),"ft","")</f>
        <v/>
      </c>
      <c r="L50" s="128"/>
      <c r="M50" s="128"/>
      <c r="N50" s="128">
        <f t="shared" si="0"/>
        <v>1</v>
      </c>
      <c r="O50" s="128">
        <f t="shared" si="10"/>
        <v>1</v>
      </c>
      <c r="P50" s="227">
        <f t="shared" si="1"/>
        <v>8</v>
      </c>
      <c r="Q50" s="229" cm="1">
        <f t="array" ref="Q50">SUMPRODUCT((H_tblBGTage=I50)*(H_tblBGMnt=E50)*H_tblBG%)</f>
        <v>1</v>
      </c>
      <c r="R50" s="227">
        <f t="shared" si="11"/>
        <v>8</v>
      </c>
      <c r="S50" s="233"/>
      <c r="T50" s="233"/>
      <c r="U50" s="232" cm="1">
        <f t="array" ref="U50">SUMPRODUCT((FEV!M_Verweiszeile=$H50)*FEV!M_ProdTag*(FEV!M_Monat=$E50))</f>
        <v>0</v>
      </c>
      <c r="V50" s="232" cm="1">
        <f t="array" ref="V50">SUMPRODUCT((FEV!M_Verweiszeile=$H50)*FEV!M_ProdN1*(FEV!M_Monat=$E50))</f>
        <v>0</v>
      </c>
      <c r="W50" s="232" cm="1">
        <f t="array" ref="W50">SUMPRODUCT((FEV!M_Verweiszeile=$H50)*FEV!M_ProdN2*(FEV!M_Monat=$E50))</f>
        <v>0</v>
      </c>
      <c r="X50" s="232" cm="1">
        <f t="array" ref="X50">SUMPRODUCT((FEV!M_Verweiszeile=$H50)*FEV!M_Reise*(FEV!M_Monat=$E50))</f>
        <v>0</v>
      </c>
      <c r="Y50" s="232" cm="1">
        <f t="array" ref="Y50">SUMPRODUCT((FEV!M_Verweiszeile=$H50)*FEV!M_Reiseabzug*(FEV!M_Monat=$E50))</f>
        <v>0</v>
      </c>
      <c r="Z50" s="232">
        <f t="shared" si="12"/>
        <v>0</v>
      </c>
      <c r="AA50" s="232">
        <f t="shared" si="2"/>
        <v>0</v>
      </c>
      <c r="AB50" s="232">
        <f t="shared" si="3"/>
        <v>0</v>
      </c>
      <c r="AC50" s="232">
        <f t="shared" si="13"/>
        <v>0</v>
      </c>
      <c r="AD50" s="232">
        <f t="shared" si="14"/>
        <v>0</v>
      </c>
      <c r="AE50" s="232">
        <f t="shared" si="15"/>
        <v>0</v>
      </c>
    </row>
    <row r="51" spans="3:31" x14ac:dyDescent="0.2">
      <c r="C51" s="128">
        <v>42</v>
      </c>
      <c r="D51" s="186">
        <f t="shared" si="16"/>
        <v>46064</v>
      </c>
      <c r="E51" s="128">
        <f t="shared" si="4"/>
        <v>2</v>
      </c>
      <c r="F51" s="187">
        <f t="shared" si="5"/>
        <v>46064</v>
      </c>
      <c r="G51" s="128">
        <f t="shared" si="6"/>
        <v>7</v>
      </c>
      <c r="H51" s="128">
        <f t="shared" si="7"/>
        <v>11</v>
      </c>
      <c r="I51" s="128">
        <f t="shared" si="8"/>
        <v>3</v>
      </c>
      <c r="J51" s="188">
        <f t="shared" si="9"/>
        <v>46064</v>
      </c>
      <c r="K51" s="128" t="str" cm="1">
        <f t="array" ref="K51">IF(AND(I51&lt;7,INDEX(B_tblFTMatrix,$E51,$H51)="x"),"ft","")</f>
        <v/>
      </c>
      <c r="L51" s="128"/>
      <c r="M51" s="128"/>
      <c r="N51" s="128">
        <f t="shared" si="0"/>
        <v>1</v>
      </c>
      <c r="O51" s="128">
        <f t="shared" si="10"/>
        <v>1</v>
      </c>
      <c r="P51" s="227">
        <f t="shared" si="1"/>
        <v>8</v>
      </c>
      <c r="Q51" s="229" cm="1">
        <f t="array" ref="Q51">SUMPRODUCT((H_tblBGTage=I51)*(H_tblBGMnt=E51)*H_tblBG%)</f>
        <v>1</v>
      </c>
      <c r="R51" s="227">
        <f t="shared" si="11"/>
        <v>8</v>
      </c>
      <c r="S51" s="233"/>
      <c r="T51" s="233"/>
      <c r="U51" s="232" cm="1">
        <f t="array" ref="U51">SUMPRODUCT((FEV!M_Verweiszeile=$H51)*FEV!M_ProdTag*(FEV!M_Monat=$E51))</f>
        <v>0</v>
      </c>
      <c r="V51" s="232" cm="1">
        <f t="array" ref="V51">SUMPRODUCT((FEV!M_Verweiszeile=$H51)*FEV!M_ProdN1*(FEV!M_Monat=$E51))</f>
        <v>0</v>
      </c>
      <c r="W51" s="232" cm="1">
        <f t="array" ref="W51">SUMPRODUCT((FEV!M_Verweiszeile=$H51)*FEV!M_ProdN2*(FEV!M_Monat=$E51))</f>
        <v>0</v>
      </c>
      <c r="X51" s="232" cm="1">
        <f t="array" ref="X51">SUMPRODUCT((FEV!M_Verweiszeile=$H51)*FEV!M_Reise*(FEV!M_Monat=$E51))</f>
        <v>0</v>
      </c>
      <c r="Y51" s="232" cm="1">
        <f t="array" ref="Y51">SUMPRODUCT((FEV!M_Verweiszeile=$H51)*FEV!M_Reiseabzug*(FEV!M_Monat=$E51))</f>
        <v>0</v>
      </c>
      <c r="Z51" s="232">
        <f t="shared" si="12"/>
        <v>0</v>
      </c>
      <c r="AA51" s="232">
        <f t="shared" si="2"/>
        <v>0</v>
      </c>
      <c r="AB51" s="232">
        <f t="shared" si="3"/>
        <v>0</v>
      </c>
      <c r="AC51" s="232">
        <f t="shared" si="13"/>
        <v>0</v>
      </c>
      <c r="AD51" s="232">
        <f t="shared" si="14"/>
        <v>0</v>
      </c>
      <c r="AE51" s="232">
        <f t="shared" si="15"/>
        <v>0</v>
      </c>
    </row>
    <row r="52" spans="3:31" x14ac:dyDescent="0.2">
      <c r="C52" s="128">
        <v>43</v>
      </c>
      <c r="D52" s="186">
        <f t="shared" si="16"/>
        <v>46065</v>
      </c>
      <c r="E52" s="128">
        <f t="shared" si="4"/>
        <v>2</v>
      </c>
      <c r="F52" s="187">
        <f t="shared" si="5"/>
        <v>46065</v>
      </c>
      <c r="G52" s="128">
        <f t="shared" si="6"/>
        <v>7</v>
      </c>
      <c r="H52" s="128">
        <f t="shared" si="7"/>
        <v>12</v>
      </c>
      <c r="I52" s="128">
        <f t="shared" si="8"/>
        <v>4</v>
      </c>
      <c r="J52" s="188">
        <f t="shared" si="9"/>
        <v>46065</v>
      </c>
      <c r="K52" s="128" t="str" cm="1">
        <f t="array" ref="K52">IF(AND(I52&lt;7,INDEX(B_tblFTMatrix,$E52,$H52)="x"),"ft","")</f>
        <v/>
      </c>
      <c r="L52" s="128"/>
      <c r="M52" s="128"/>
      <c r="N52" s="128">
        <f t="shared" si="0"/>
        <v>1</v>
      </c>
      <c r="O52" s="128">
        <f t="shared" si="10"/>
        <v>1</v>
      </c>
      <c r="P52" s="227">
        <f t="shared" si="1"/>
        <v>8</v>
      </c>
      <c r="Q52" s="229" cm="1">
        <f t="array" ref="Q52">SUMPRODUCT((H_tblBGTage=I52)*(H_tblBGMnt=E52)*H_tblBG%)</f>
        <v>1</v>
      </c>
      <c r="R52" s="227">
        <f t="shared" si="11"/>
        <v>8</v>
      </c>
      <c r="S52" s="233"/>
      <c r="T52" s="233"/>
      <c r="U52" s="232" cm="1">
        <f t="array" ref="U52">SUMPRODUCT((FEV!M_Verweiszeile=$H52)*FEV!M_ProdTag*(FEV!M_Monat=$E52))</f>
        <v>0</v>
      </c>
      <c r="V52" s="232" cm="1">
        <f t="array" ref="V52">SUMPRODUCT((FEV!M_Verweiszeile=$H52)*FEV!M_ProdN1*(FEV!M_Monat=$E52))</f>
        <v>0</v>
      </c>
      <c r="W52" s="232" cm="1">
        <f t="array" ref="W52">SUMPRODUCT((FEV!M_Verweiszeile=$H52)*FEV!M_ProdN2*(FEV!M_Monat=$E52))</f>
        <v>0</v>
      </c>
      <c r="X52" s="232" cm="1">
        <f t="array" ref="X52">SUMPRODUCT((FEV!M_Verweiszeile=$H52)*FEV!M_Reise*(FEV!M_Monat=$E52))</f>
        <v>0</v>
      </c>
      <c r="Y52" s="232" cm="1">
        <f t="array" ref="Y52">SUMPRODUCT((FEV!M_Verweiszeile=$H52)*FEV!M_Reiseabzug*(FEV!M_Monat=$E52))</f>
        <v>0</v>
      </c>
      <c r="Z52" s="232">
        <f t="shared" si="12"/>
        <v>0</v>
      </c>
      <c r="AA52" s="232">
        <f t="shared" si="2"/>
        <v>0</v>
      </c>
      <c r="AB52" s="232">
        <f t="shared" si="3"/>
        <v>0</v>
      </c>
      <c r="AC52" s="232">
        <f t="shared" si="13"/>
        <v>0</v>
      </c>
      <c r="AD52" s="232">
        <f t="shared" si="14"/>
        <v>0</v>
      </c>
      <c r="AE52" s="232">
        <f t="shared" si="15"/>
        <v>0</v>
      </c>
    </row>
    <row r="53" spans="3:31" x14ac:dyDescent="0.2">
      <c r="C53" s="128">
        <v>44</v>
      </c>
      <c r="D53" s="186">
        <f t="shared" si="16"/>
        <v>46066</v>
      </c>
      <c r="E53" s="128">
        <f t="shared" si="4"/>
        <v>2</v>
      </c>
      <c r="F53" s="187">
        <f t="shared" si="5"/>
        <v>46066</v>
      </c>
      <c r="G53" s="128">
        <f t="shared" si="6"/>
        <v>7</v>
      </c>
      <c r="H53" s="128">
        <f t="shared" si="7"/>
        <v>13</v>
      </c>
      <c r="I53" s="128">
        <f t="shared" si="8"/>
        <v>5</v>
      </c>
      <c r="J53" s="188">
        <f t="shared" si="9"/>
        <v>46066</v>
      </c>
      <c r="K53" s="128" t="str" cm="1">
        <f t="array" ref="K53">IF(AND(I53&lt;7,INDEX(B_tblFTMatrix,$E53,$H53)="x"),"ft","")</f>
        <v/>
      </c>
      <c r="L53" s="128"/>
      <c r="M53" s="128"/>
      <c r="N53" s="128">
        <f t="shared" si="0"/>
        <v>1</v>
      </c>
      <c r="O53" s="128">
        <f t="shared" si="10"/>
        <v>1</v>
      </c>
      <c r="P53" s="227">
        <f t="shared" si="1"/>
        <v>8</v>
      </c>
      <c r="Q53" s="229" cm="1">
        <f t="array" ref="Q53">SUMPRODUCT((H_tblBGTage=I53)*(H_tblBGMnt=E53)*H_tblBG%)</f>
        <v>1</v>
      </c>
      <c r="R53" s="227">
        <f t="shared" si="11"/>
        <v>8</v>
      </c>
      <c r="S53" s="233"/>
      <c r="T53" s="233"/>
      <c r="U53" s="232" cm="1">
        <f t="array" ref="U53">SUMPRODUCT((FEV!M_Verweiszeile=$H53)*FEV!M_ProdTag*(FEV!M_Monat=$E53))</f>
        <v>0</v>
      </c>
      <c r="V53" s="232" cm="1">
        <f t="array" ref="V53">SUMPRODUCT((FEV!M_Verweiszeile=$H53)*FEV!M_ProdN1*(FEV!M_Monat=$E53))</f>
        <v>0</v>
      </c>
      <c r="W53" s="232" cm="1">
        <f t="array" ref="W53">SUMPRODUCT((FEV!M_Verweiszeile=$H53)*FEV!M_ProdN2*(FEV!M_Monat=$E53))</f>
        <v>0</v>
      </c>
      <c r="X53" s="232" cm="1">
        <f t="array" ref="X53">SUMPRODUCT((FEV!M_Verweiszeile=$H53)*FEV!M_Reise*(FEV!M_Monat=$E53))</f>
        <v>0</v>
      </c>
      <c r="Y53" s="232" cm="1">
        <f t="array" ref="Y53">SUMPRODUCT((FEV!M_Verweiszeile=$H53)*FEV!M_Reiseabzug*(FEV!M_Monat=$E53))</f>
        <v>0</v>
      </c>
      <c r="Z53" s="232">
        <f t="shared" si="12"/>
        <v>0</v>
      </c>
      <c r="AA53" s="232">
        <f t="shared" si="2"/>
        <v>0</v>
      </c>
      <c r="AB53" s="232">
        <f t="shared" si="3"/>
        <v>0</v>
      </c>
      <c r="AC53" s="232">
        <f t="shared" si="13"/>
        <v>0</v>
      </c>
      <c r="AD53" s="232">
        <f t="shared" si="14"/>
        <v>0</v>
      </c>
      <c r="AE53" s="232">
        <f t="shared" si="15"/>
        <v>0</v>
      </c>
    </row>
    <row r="54" spans="3:31" x14ac:dyDescent="0.2">
      <c r="C54" s="128">
        <v>45</v>
      </c>
      <c r="D54" s="186">
        <f t="shared" si="16"/>
        <v>46067</v>
      </c>
      <c r="E54" s="128">
        <f t="shared" si="4"/>
        <v>2</v>
      </c>
      <c r="F54" s="187">
        <f t="shared" si="5"/>
        <v>46067</v>
      </c>
      <c r="G54" s="128">
        <f t="shared" si="6"/>
        <v>7</v>
      </c>
      <c r="H54" s="128">
        <f t="shared" si="7"/>
        <v>14</v>
      </c>
      <c r="I54" s="128">
        <f t="shared" si="8"/>
        <v>6</v>
      </c>
      <c r="J54" s="188">
        <f t="shared" si="9"/>
        <v>46067</v>
      </c>
      <c r="K54" s="128" t="str" cm="1">
        <f t="array" ref="K54">IF(AND(I54&lt;7,INDEX(B_tblFTMatrix,$E54,$H54)="x"),"ft","")</f>
        <v/>
      </c>
      <c r="L54" s="128"/>
      <c r="M54" s="128"/>
      <c r="N54" s="128">
        <f t="shared" si="0"/>
        <v>0</v>
      </c>
      <c r="O54" s="128">
        <f t="shared" si="10"/>
        <v>0</v>
      </c>
      <c r="P54" s="227">
        <f t="shared" si="1"/>
        <v>0</v>
      </c>
      <c r="Q54" s="229" cm="1">
        <f t="array" ref="Q54">SUMPRODUCT((H_tblBGTage=I54)*(H_tblBGMnt=E54)*H_tblBG%)</f>
        <v>0</v>
      </c>
      <c r="R54" s="227">
        <f t="shared" si="11"/>
        <v>0</v>
      </c>
      <c r="S54" s="233"/>
      <c r="T54" s="233"/>
      <c r="U54" s="232" cm="1">
        <f t="array" ref="U54">SUMPRODUCT((FEV!M_Verweiszeile=$H54)*FEV!M_ProdTag*(FEV!M_Monat=$E54))</f>
        <v>0</v>
      </c>
      <c r="V54" s="232" cm="1">
        <f t="array" ref="V54">SUMPRODUCT((FEV!M_Verweiszeile=$H54)*FEV!M_ProdN1*(FEV!M_Monat=$E54))</f>
        <v>0</v>
      </c>
      <c r="W54" s="232" cm="1">
        <f t="array" ref="W54">SUMPRODUCT((FEV!M_Verweiszeile=$H54)*FEV!M_ProdN2*(FEV!M_Monat=$E54))</f>
        <v>0</v>
      </c>
      <c r="X54" s="232" cm="1">
        <f t="array" ref="X54">SUMPRODUCT((FEV!M_Verweiszeile=$H54)*FEV!M_Reise*(FEV!M_Monat=$E54))</f>
        <v>0</v>
      </c>
      <c r="Y54" s="232" cm="1">
        <f t="array" ref="Y54">SUMPRODUCT((FEV!M_Verweiszeile=$H54)*FEV!M_Reiseabzug*(FEV!M_Monat=$E54))</f>
        <v>0</v>
      </c>
      <c r="Z54" s="232">
        <f t="shared" si="12"/>
        <v>0</v>
      </c>
      <c r="AA54" s="232">
        <f t="shared" si="2"/>
        <v>0</v>
      </c>
      <c r="AB54" s="232">
        <f t="shared" si="3"/>
        <v>0</v>
      </c>
      <c r="AC54" s="232">
        <f t="shared" si="13"/>
        <v>0</v>
      </c>
      <c r="AD54" s="232">
        <f t="shared" si="14"/>
        <v>0</v>
      </c>
      <c r="AE54" s="232">
        <f t="shared" si="15"/>
        <v>0</v>
      </c>
    </row>
    <row r="55" spans="3:31" x14ac:dyDescent="0.2">
      <c r="C55" s="128">
        <v>46</v>
      </c>
      <c r="D55" s="186">
        <f t="shared" si="16"/>
        <v>46068</v>
      </c>
      <c r="E55" s="128">
        <f t="shared" si="4"/>
        <v>2</v>
      </c>
      <c r="F55" s="187">
        <f t="shared" si="5"/>
        <v>46068</v>
      </c>
      <c r="G55" s="128">
        <f t="shared" si="6"/>
        <v>7</v>
      </c>
      <c r="H55" s="128">
        <f t="shared" si="7"/>
        <v>15</v>
      </c>
      <c r="I55" s="128">
        <f t="shared" si="8"/>
        <v>7</v>
      </c>
      <c r="J55" s="188">
        <f t="shared" si="9"/>
        <v>46068</v>
      </c>
      <c r="K55" s="128" t="str" cm="1">
        <f t="array" ref="K55">IF(AND(I55&lt;7,INDEX(B_tblFTMatrix,$E55,$H55)="x"),"ft","")</f>
        <v/>
      </c>
      <c r="L55" s="128"/>
      <c r="M55" s="128"/>
      <c r="N55" s="128">
        <f t="shared" si="0"/>
        <v>0</v>
      </c>
      <c r="O55" s="128">
        <f t="shared" si="10"/>
        <v>0</v>
      </c>
      <c r="P55" s="227">
        <f t="shared" si="1"/>
        <v>0</v>
      </c>
      <c r="Q55" s="229" cm="1">
        <f t="array" ref="Q55">SUMPRODUCT((H_tblBGTage=I55)*(H_tblBGMnt=E55)*H_tblBG%)</f>
        <v>0</v>
      </c>
      <c r="R55" s="227">
        <f t="shared" si="11"/>
        <v>0</v>
      </c>
      <c r="S55" s="233"/>
      <c r="T55" s="233"/>
      <c r="U55" s="232" cm="1">
        <f t="array" ref="U55">SUMPRODUCT((FEV!M_Verweiszeile=$H55)*FEV!M_ProdTag*(FEV!M_Monat=$E55))</f>
        <v>0</v>
      </c>
      <c r="V55" s="232" cm="1">
        <f t="array" ref="V55">SUMPRODUCT((FEV!M_Verweiszeile=$H55)*FEV!M_ProdN1*(FEV!M_Monat=$E55))</f>
        <v>0</v>
      </c>
      <c r="W55" s="232" cm="1">
        <f t="array" ref="W55">SUMPRODUCT((FEV!M_Verweiszeile=$H55)*FEV!M_ProdN2*(FEV!M_Monat=$E55))</f>
        <v>0</v>
      </c>
      <c r="X55" s="232" cm="1">
        <f t="array" ref="X55">SUMPRODUCT((FEV!M_Verweiszeile=$H55)*FEV!M_Reise*(FEV!M_Monat=$E55))</f>
        <v>0</v>
      </c>
      <c r="Y55" s="232" cm="1">
        <f t="array" ref="Y55">SUMPRODUCT((FEV!M_Verweiszeile=$H55)*FEV!M_Reiseabzug*(FEV!M_Monat=$E55))</f>
        <v>0</v>
      </c>
      <c r="Z55" s="232">
        <f t="shared" si="12"/>
        <v>0</v>
      </c>
      <c r="AA55" s="232">
        <f t="shared" si="2"/>
        <v>0</v>
      </c>
      <c r="AB55" s="232">
        <f t="shared" si="3"/>
        <v>0</v>
      </c>
      <c r="AC55" s="232">
        <f t="shared" si="13"/>
        <v>0</v>
      </c>
      <c r="AD55" s="232">
        <f t="shared" si="14"/>
        <v>0</v>
      </c>
      <c r="AE55" s="232">
        <f t="shared" si="15"/>
        <v>0</v>
      </c>
    </row>
    <row r="56" spans="3:31" x14ac:dyDescent="0.2">
      <c r="C56" s="128">
        <v>47</v>
      </c>
      <c r="D56" s="186">
        <f t="shared" si="16"/>
        <v>46069</v>
      </c>
      <c r="E56" s="128">
        <f t="shared" si="4"/>
        <v>2</v>
      </c>
      <c r="F56" s="187">
        <f t="shared" si="5"/>
        <v>46069</v>
      </c>
      <c r="G56" s="128">
        <f t="shared" si="6"/>
        <v>8</v>
      </c>
      <c r="H56" s="128">
        <f t="shared" si="7"/>
        <v>16</v>
      </c>
      <c r="I56" s="128">
        <f t="shared" si="8"/>
        <v>1</v>
      </c>
      <c r="J56" s="188">
        <f t="shared" si="9"/>
        <v>46069</v>
      </c>
      <c r="K56" s="128" t="str" cm="1">
        <f t="array" ref="K56">IF(AND(I56&lt;7,INDEX(B_tblFTMatrix,$E56,$H56)="x"),"ft","")</f>
        <v/>
      </c>
      <c r="L56" s="128"/>
      <c r="M56" s="128"/>
      <c r="N56" s="128">
        <f t="shared" si="0"/>
        <v>1</v>
      </c>
      <c r="O56" s="128">
        <f t="shared" si="10"/>
        <v>1</v>
      </c>
      <c r="P56" s="227">
        <f t="shared" si="1"/>
        <v>8</v>
      </c>
      <c r="Q56" s="229" cm="1">
        <f t="array" ref="Q56">SUMPRODUCT((H_tblBGTage=I56)*(H_tblBGMnt=E56)*H_tblBG%)</f>
        <v>1</v>
      </c>
      <c r="R56" s="227">
        <f t="shared" si="11"/>
        <v>8</v>
      </c>
      <c r="S56" s="233"/>
      <c r="T56" s="233"/>
      <c r="U56" s="232" cm="1">
        <f t="array" ref="U56">SUMPRODUCT((FEV!M_Verweiszeile=$H56)*FEV!M_ProdTag*(FEV!M_Monat=$E56))</f>
        <v>0</v>
      </c>
      <c r="V56" s="232" cm="1">
        <f t="array" ref="V56">SUMPRODUCT((FEV!M_Verweiszeile=$H56)*FEV!M_ProdN1*(FEV!M_Monat=$E56))</f>
        <v>0</v>
      </c>
      <c r="W56" s="232" cm="1">
        <f t="array" ref="W56">SUMPRODUCT((FEV!M_Verweiszeile=$H56)*FEV!M_ProdN2*(FEV!M_Monat=$E56))</f>
        <v>0</v>
      </c>
      <c r="X56" s="232" cm="1">
        <f t="array" ref="X56">SUMPRODUCT((FEV!M_Verweiszeile=$H56)*FEV!M_Reise*(FEV!M_Monat=$E56))</f>
        <v>0</v>
      </c>
      <c r="Y56" s="232" cm="1">
        <f t="array" ref="Y56">SUMPRODUCT((FEV!M_Verweiszeile=$H56)*FEV!M_Reiseabzug*(FEV!M_Monat=$E56))</f>
        <v>0</v>
      </c>
      <c r="Z56" s="232">
        <f t="shared" si="12"/>
        <v>0</v>
      </c>
      <c r="AA56" s="232">
        <f t="shared" si="2"/>
        <v>0</v>
      </c>
      <c r="AB56" s="232">
        <f t="shared" si="3"/>
        <v>0</v>
      </c>
      <c r="AC56" s="232">
        <f t="shared" si="13"/>
        <v>0</v>
      </c>
      <c r="AD56" s="232">
        <f t="shared" si="14"/>
        <v>0</v>
      </c>
      <c r="AE56" s="232">
        <f t="shared" si="15"/>
        <v>0</v>
      </c>
    </row>
    <row r="57" spans="3:31" x14ac:dyDescent="0.2">
      <c r="C57" s="128">
        <v>48</v>
      </c>
      <c r="D57" s="186">
        <f t="shared" si="16"/>
        <v>46070</v>
      </c>
      <c r="E57" s="128">
        <f t="shared" si="4"/>
        <v>2</v>
      </c>
      <c r="F57" s="187">
        <f t="shared" si="5"/>
        <v>46070</v>
      </c>
      <c r="G57" s="128">
        <f t="shared" si="6"/>
        <v>8</v>
      </c>
      <c r="H57" s="128">
        <f t="shared" si="7"/>
        <v>17</v>
      </c>
      <c r="I57" s="128">
        <f t="shared" si="8"/>
        <v>2</v>
      </c>
      <c r="J57" s="188">
        <f t="shared" si="9"/>
        <v>46070</v>
      </c>
      <c r="K57" s="128" t="str" cm="1">
        <f t="array" ref="K57">IF(AND(I57&lt;7,INDEX(B_tblFTMatrix,$E57,$H57)="x"),"ft","")</f>
        <v/>
      </c>
      <c r="L57" s="128"/>
      <c r="M57" s="128"/>
      <c r="N57" s="128">
        <f t="shared" si="0"/>
        <v>1</v>
      </c>
      <c r="O57" s="128">
        <f t="shared" si="10"/>
        <v>1</v>
      </c>
      <c r="P57" s="227">
        <f t="shared" si="1"/>
        <v>8</v>
      </c>
      <c r="Q57" s="229" cm="1">
        <f t="array" ref="Q57">SUMPRODUCT((H_tblBGTage=I57)*(H_tblBGMnt=E57)*H_tblBG%)</f>
        <v>1</v>
      </c>
      <c r="R57" s="227">
        <f t="shared" si="11"/>
        <v>8</v>
      </c>
      <c r="S57" s="233"/>
      <c r="T57" s="233"/>
      <c r="U57" s="232" cm="1">
        <f t="array" ref="U57">SUMPRODUCT((FEV!M_Verweiszeile=$H57)*FEV!M_ProdTag*(FEV!M_Monat=$E57))</f>
        <v>0</v>
      </c>
      <c r="V57" s="232" cm="1">
        <f t="array" ref="V57">SUMPRODUCT((FEV!M_Verweiszeile=$H57)*FEV!M_ProdN1*(FEV!M_Monat=$E57))</f>
        <v>0</v>
      </c>
      <c r="W57" s="232" cm="1">
        <f t="array" ref="W57">SUMPRODUCT((FEV!M_Verweiszeile=$H57)*FEV!M_ProdN2*(FEV!M_Monat=$E57))</f>
        <v>0</v>
      </c>
      <c r="X57" s="232" cm="1">
        <f t="array" ref="X57">SUMPRODUCT((FEV!M_Verweiszeile=$H57)*FEV!M_Reise*(FEV!M_Monat=$E57))</f>
        <v>0</v>
      </c>
      <c r="Y57" s="232" cm="1">
        <f t="array" ref="Y57">SUMPRODUCT((FEV!M_Verweiszeile=$H57)*FEV!M_Reiseabzug*(FEV!M_Monat=$E57))</f>
        <v>0</v>
      </c>
      <c r="Z57" s="232">
        <f t="shared" si="12"/>
        <v>0</v>
      </c>
      <c r="AA57" s="232">
        <f t="shared" si="2"/>
        <v>0</v>
      </c>
      <c r="AB57" s="232">
        <f t="shared" si="3"/>
        <v>0</v>
      </c>
      <c r="AC57" s="232">
        <f t="shared" si="13"/>
        <v>0</v>
      </c>
      <c r="AD57" s="232">
        <f t="shared" si="14"/>
        <v>0</v>
      </c>
      <c r="AE57" s="232">
        <f t="shared" si="15"/>
        <v>0</v>
      </c>
    </row>
    <row r="58" spans="3:31" x14ac:dyDescent="0.2">
      <c r="C58" s="128">
        <v>49</v>
      </c>
      <c r="D58" s="186">
        <f t="shared" si="16"/>
        <v>46071</v>
      </c>
      <c r="E58" s="128">
        <f t="shared" si="4"/>
        <v>2</v>
      </c>
      <c r="F58" s="187">
        <f t="shared" si="5"/>
        <v>46071</v>
      </c>
      <c r="G58" s="128">
        <f t="shared" si="6"/>
        <v>8</v>
      </c>
      <c r="H58" s="128">
        <f t="shared" si="7"/>
        <v>18</v>
      </c>
      <c r="I58" s="128">
        <f t="shared" si="8"/>
        <v>3</v>
      </c>
      <c r="J58" s="188">
        <f t="shared" si="9"/>
        <v>46071</v>
      </c>
      <c r="K58" s="128" t="str" cm="1">
        <f t="array" ref="K58">IF(AND(I58&lt;7,INDEX(B_tblFTMatrix,$E58,$H58)="x"),"ft","")</f>
        <v/>
      </c>
      <c r="L58" s="128"/>
      <c r="M58" s="128"/>
      <c r="N58" s="128">
        <f t="shared" si="0"/>
        <v>1</v>
      </c>
      <c r="O58" s="128">
        <f t="shared" si="10"/>
        <v>1</v>
      </c>
      <c r="P58" s="227">
        <f t="shared" si="1"/>
        <v>8</v>
      </c>
      <c r="Q58" s="229" cm="1">
        <f t="array" ref="Q58">SUMPRODUCT((H_tblBGTage=I58)*(H_tblBGMnt=E58)*H_tblBG%)</f>
        <v>1</v>
      </c>
      <c r="R58" s="227">
        <f t="shared" si="11"/>
        <v>8</v>
      </c>
      <c r="S58" s="233"/>
      <c r="T58" s="233"/>
      <c r="U58" s="232" cm="1">
        <f t="array" ref="U58">SUMPRODUCT((FEV!M_Verweiszeile=$H58)*FEV!M_ProdTag*(FEV!M_Monat=$E58))</f>
        <v>0</v>
      </c>
      <c r="V58" s="232" cm="1">
        <f t="array" ref="V58">SUMPRODUCT((FEV!M_Verweiszeile=$H58)*FEV!M_ProdN1*(FEV!M_Monat=$E58))</f>
        <v>0</v>
      </c>
      <c r="W58" s="232" cm="1">
        <f t="array" ref="W58">SUMPRODUCT((FEV!M_Verweiszeile=$H58)*FEV!M_ProdN2*(FEV!M_Monat=$E58))</f>
        <v>0</v>
      </c>
      <c r="X58" s="232" cm="1">
        <f t="array" ref="X58">SUMPRODUCT((FEV!M_Verweiszeile=$H58)*FEV!M_Reise*(FEV!M_Monat=$E58))</f>
        <v>0</v>
      </c>
      <c r="Y58" s="232" cm="1">
        <f t="array" ref="Y58">SUMPRODUCT((FEV!M_Verweiszeile=$H58)*FEV!M_Reiseabzug*(FEV!M_Monat=$E58))</f>
        <v>0</v>
      </c>
      <c r="Z58" s="232">
        <f t="shared" si="12"/>
        <v>0</v>
      </c>
      <c r="AA58" s="232">
        <f t="shared" si="2"/>
        <v>0</v>
      </c>
      <c r="AB58" s="232">
        <f t="shared" si="3"/>
        <v>0</v>
      </c>
      <c r="AC58" s="232">
        <f t="shared" si="13"/>
        <v>0</v>
      </c>
      <c r="AD58" s="232">
        <f t="shared" si="14"/>
        <v>0</v>
      </c>
      <c r="AE58" s="232">
        <f t="shared" si="15"/>
        <v>0</v>
      </c>
    </row>
    <row r="59" spans="3:31" x14ac:dyDescent="0.2">
      <c r="C59" s="128">
        <v>50</v>
      </c>
      <c r="D59" s="186">
        <f t="shared" si="16"/>
        <v>46072</v>
      </c>
      <c r="E59" s="128">
        <f t="shared" si="4"/>
        <v>2</v>
      </c>
      <c r="F59" s="187">
        <f t="shared" si="5"/>
        <v>46072</v>
      </c>
      <c r="G59" s="128">
        <f t="shared" si="6"/>
        <v>8</v>
      </c>
      <c r="H59" s="128">
        <f t="shared" si="7"/>
        <v>19</v>
      </c>
      <c r="I59" s="128">
        <f t="shared" si="8"/>
        <v>4</v>
      </c>
      <c r="J59" s="188">
        <f t="shared" si="9"/>
        <v>46072</v>
      </c>
      <c r="K59" s="128" t="str" cm="1">
        <f t="array" ref="K59">IF(AND(I59&lt;7,INDEX(B_tblFTMatrix,$E59,$H59)="x"),"ft","")</f>
        <v/>
      </c>
      <c r="L59" s="128"/>
      <c r="M59" s="128"/>
      <c r="N59" s="128">
        <f t="shared" si="0"/>
        <v>1</v>
      </c>
      <c r="O59" s="128">
        <f t="shared" si="10"/>
        <v>1</v>
      </c>
      <c r="P59" s="227">
        <f t="shared" si="1"/>
        <v>8</v>
      </c>
      <c r="Q59" s="229" cm="1">
        <f t="array" ref="Q59">SUMPRODUCT((H_tblBGTage=I59)*(H_tblBGMnt=E59)*H_tblBG%)</f>
        <v>1</v>
      </c>
      <c r="R59" s="227">
        <f t="shared" si="11"/>
        <v>8</v>
      </c>
      <c r="S59" s="233"/>
      <c r="T59" s="233"/>
      <c r="U59" s="232" cm="1">
        <f t="array" ref="U59">SUMPRODUCT((FEV!M_Verweiszeile=$H59)*FEV!M_ProdTag*(FEV!M_Monat=$E59))</f>
        <v>0</v>
      </c>
      <c r="V59" s="232" cm="1">
        <f t="array" ref="V59">SUMPRODUCT((FEV!M_Verweiszeile=$H59)*FEV!M_ProdN1*(FEV!M_Monat=$E59))</f>
        <v>0</v>
      </c>
      <c r="W59" s="232" cm="1">
        <f t="array" ref="W59">SUMPRODUCT((FEV!M_Verweiszeile=$H59)*FEV!M_ProdN2*(FEV!M_Monat=$E59))</f>
        <v>0</v>
      </c>
      <c r="X59" s="232" cm="1">
        <f t="array" ref="X59">SUMPRODUCT((FEV!M_Verweiszeile=$H59)*FEV!M_Reise*(FEV!M_Monat=$E59))</f>
        <v>0</v>
      </c>
      <c r="Y59" s="232" cm="1">
        <f t="array" ref="Y59">SUMPRODUCT((FEV!M_Verweiszeile=$H59)*FEV!M_Reiseabzug*(FEV!M_Monat=$E59))</f>
        <v>0</v>
      </c>
      <c r="Z59" s="232">
        <f t="shared" si="12"/>
        <v>0</v>
      </c>
      <c r="AA59" s="232">
        <f t="shared" si="2"/>
        <v>0</v>
      </c>
      <c r="AB59" s="232">
        <f t="shared" si="3"/>
        <v>0</v>
      </c>
      <c r="AC59" s="232">
        <f t="shared" si="13"/>
        <v>0</v>
      </c>
      <c r="AD59" s="232">
        <f t="shared" si="14"/>
        <v>0</v>
      </c>
      <c r="AE59" s="232">
        <f t="shared" si="15"/>
        <v>0</v>
      </c>
    </row>
    <row r="60" spans="3:31" x14ac:dyDescent="0.2">
      <c r="C60" s="128">
        <v>51</v>
      </c>
      <c r="D60" s="186">
        <f t="shared" si="16"/>
        <v>46073</v>
      </c>
      <c r="E60" s="128">
        <f t="shared" si="4"/>
        <v>2</v>
      </c>
      <c r="F60" s="187">
        <f t="shared" si="5"/>
        <v>46073</v>
      </c>
      <c r="G60" s="128">
        <f t="shared" si="6"/>
        <v>8</v>
      </c>
      <c r="H60" s="128">
        <f t="shared" si="7"/>
        <v>20</v>
      </c>
      <c r="I60" s="128">
        <f t="shared" si="8"/>
        <v>5</v>
      </c>
      <c r="J60" s="188">
        <f t="shared" si="9"/>
        <v>46073</v>
      </c>
      <c r="K60" s="128" t="str" cm="1">
        <f t="array" ref="K60">IF(AND(I60&lt;7,INDEX(B_tblFTMatrix,$E60,$H60)="x"),"ft","")</f>
        <v/>
      </c>
      <c r="L60" s="128"/>
      <c r="M60" s="128"/>
      <c r="N60" s="128">
        <f t="shared" si="0"/>
        <v>1</v>
      </c>
      <c r="O60" s="128">
        <f t="shared" si="10"/>
        <v>1</v>
      </c>
      <c r="P60" s="227">
        <f t="shared" si="1"/>
        <v>8</v>
      </c>
      <c r="Q60" s="229" cm="1">
        <f t="array" ref="Q60">SUMPRODUCT((H_tblBGTage=I60)*(H_tblBGMnt=E60)*H_tblBG%)</f>
        <v>1</v>
      </c>
      <c r="R60" s="227">
        <f t="shared" si="11"/>
        <v>8</v>
      </c>
      <c r="S60" s="233"/>
      <c r="T60" s="233"/>
      <c r="U60" s="232" cm="1">
        <f t="array" ref="U60">SUMPRODUCT((FEV!M_Verweiszeile=$H60)*FEV!M_ProdTag*(FEV!M_Monat=$E60))</f>
        <v>0</v>
      </c>
      <c r="V60" s="232" cm="1">
        <f t="array" ref="V60">SUMPRODUCT((FEV!M_Verweiszeile=$H60)*FEV!M_ProdN1*(FEV!M_Monat=$E60))</f>
        <v>0</v>
      </c>
      <c r="W60" s="232" cm="1">
        <f t="array" ref="W60">SUMPRODUCT((FEV!M_Verweiszeile=$H60)*FEV!M_ProdN2*(FEV!M_Monat=$E60))</f>
        <v>0</v>
      </c>
      <c r="X60" s="232" cm="1">
        <f t="array" ref="X60">SUMPRODUCT((FEV!M_Verweiszeile=$H60)*FEV!M_Reise*(FEV!M_Monat=$E60))</f>
        <v>0</v>
      </c>
      <c r="Y60" s="232" cm="1">
        <f t="array" ref="Y60">SUMPRODUCT((FEV!M_Verweiszeile=$H60)*FEV!M_Reiseabzug*(FEV!M_Monat=$E60))</f>
        <v>0</v>
      </c>
      <c r="Z60" s="232">
        <f t="shared" si="12"/>
        <v>0</v>
      </c>
      <c r="AA60" s="232">
        <f t="shared" si="2"/>
        <v>0</v>
      </c>
      <c r="AB60" s="232">
        <f t="shared" si="3"/>
        <v>0</v>
      </c>
      <c r="AC60" s="232">
        <f t="shared" si="13"/>
        <v>0</v>
      </c>
      <c r="AD60" s="232">
        <f t="shared" si="14"/>
        <v>0</v>
      </c>
      <c r="AE60" s="232">
        <f t="shared" si="15"/>
        <v>0</v>
      </c>
    </row>
    <row r="61" spans="3:31" x14ac:dyDescent="0.2">
      <c r="C61" s="128">
        <v>52</v>
      </c>
      <c r="D61" s="186">
        <f t="shared" si="16"/>
        <v>46074</v>
      </c>
      <c r="E61" s="128">
        <f t="shared" si="4"/>
        <v>2</v>
      </c>
      <c r="F61" s="187">
        <f t="shared" si="5"/>
        <v>46074</v>
      </c>
      <c r="G61" s="128">
        <f t="shared" si="6"/>
        <v>8</v>
      </c>
      <c r="H61" s="128">
        <f t="shared" si="7"/>
        <v>21</v>
      </c>
      <c r="I61" s="128">
        <f t="shared" si="8"/>
        <v>6</v>
      </c>
      <c r="J61" s="188">
        <f t="shared" si="9"/>
        <v>46074</v>
      </c>
      <c r="K61" s="128" t="str" cm="1">
        <f t="array" ref="K61">IF(AND(I61&lt;7,INDEX(B_tblFTMatrix,$E61,$H61)="x"),"ft","")</f>
        <v/>
      </c>
      <c r="L61" s="128"/>
      <c r="M61" s="128"/>
      <c r="N61" s="128">
        <f t="shared" si="0"/>
        <v>0</v>
      </c>
      <c r="O61" s="128">
        <f t="shared" si="10"/>
        <v>0</v>
      </c>
      <c r="P61" s="227">
        <f t="shared" si="1"/>
        <v>0</v>
      </c>
      <c r="Q61" s="229" cm="1">
        <f t="array" ref="Q61">SUMPRODUCT((H_tblBGTage=I61)*(H_tblBGMnt=E61)*H_tblBG%)</f>
        <v>0</v>
      </c>
      <c r="R61" s="227">
        <f t="shared" si="11"/>
        <v>0</v>
      </c>
      <c r="S61" s="233"/>
      <c r="T61" s="233"/>
      <c r="U61" s="232" cm="1">
        <f t="array" ref="U61">SUMPRODUCT((FEV!M_Verweiszeile=$H61)*FEV!M_ProdTag*(FEV!M_Monat=$E61))</f>
        <v>0</v>
      </c>
      <c r="V61" s="232" cm="1">
        <f t="array" ref="V61">SUMPRODUCT((FEV!M_Verweiszeile=$H61)*FEV!M_ProdN1*(FEV!M_Monat=$E61))</f>
        <v>0</v>
      </c>
      <c r="W61" s="232" cm="1">
        <f t="array" ref="W61">SUMPRODUCT((FEV!M_Verweiszeile=$H61)*FEV!M_ProdN2*(FEV!M_Monat=$E61))</f>
        <v>0</v>
      </c>
      <c r="X61" s="232" cm="1">
        <f t="array" ref="X61">SUMPRODUCT((FEV!M_Verweiszeile=$H61)*FEV!M_Reise*(FEV!M_Monat=$E61))</f>
        <v>0</v>
      </c>
      <c r="Y61" s="232" cm="1">
        <f t="array" ref="Y61">SUMPRODUCT((FEV!M_Verweiszeile=$H61)*FEV!M_Reiseabzug*(FEV!M_Monat=$E61))</f>
        <v>0</v>
      </c>
      <c r="Z61" s="232">
        <f t="shared" si="12"/>
        <v>0</v>
      </c>
      <c r="AA61" s="232">
        <f t="shared" si="2"/>
        <v>0</v>
      </c>
      <c r="AB61" s="232">
        <f t="shared" si="3"/>
        <v>0</v>
      </c>
      <c r="AC61" s="232">
        <f t="shared" si="13"/>
        <v>0</v>
      </c>
      <c r="AD61" s="232">
        <f t="shared" si="14"/>
        <v>0</v>
      </c>
      <c r="AE61" s="232">
        <f t="shared" si="15"/>
        <v>0</v>
      </c>
    </row>
    <row r="62" spans="3:31" x14ac:dyDescent="0.2">
      <c r="C62" s="128">
        <v>53</v>
      </c>
      <c r="D62" s="186">
        <f t="shared" si="16"/>
        <v>46075</v>
      </c>
      <c r="E62" s="128">
        <f t="shared" si="4"/>
        <v>2</v>
      </c>
      <c r="F62" s="187">
        <f t="shared" si="5"/>
        <v>46075</v>
      </c>
      <c r="G62" s="128">
        <f t="shared" si="6"/>
        <v>8</v>
      </c>
      <c r="H62" s="128">
        <f t="shared" si="7"/>
        <v>22</v>
      </c>
      <c r="I62" s="128">
        <f t="shared" si="8"/>
        <v>7</v>
      </c>
      <c r="J62" s="188">
        <f t="shared" si="9"/>
        <v>46075</v>
      </c>
      <c r="K62" s="128" t="str" cm="1">
        <f t="array" ref="K62">IF(AND(I62&lt;7,INDEX(B_tblFTMatrix,$E62,$H62)="x"),"ft","")</f>
        <v/>
      </c>
      <c r="L62" s="128"/>
      <c r="M62" s="128"/>
      <c r="N62" s="128">
        <f t="shared" si="0"/>
        <v>0</v>
      </c>
      <c r="O62" s="128">
        <f t="shared" si="10"/>
        <v>0</v>
      </c>
      <c r="P62" s="227">
        <f t="shared" si="1"/>
        <v>0</v>
      </c>
      <c r="Q62" s="229" cm="1">
        <f t="array" ref="Q62">SUMPRODUCT((H_tblBGTage=I62)*(H_tblBGMnt=E62)*H_tblBG%)</f>
        <v>0</v>
      </c>
      <c r="R62" s="227">
        <f t="shared" si="11"/>
        <v>0</v>
      </c>
      <c r="S62" s="233"/>
      <c r="T62" s="233"/>
      <c r="U62" s="232" cm="1">
        <f t="array" ref="U62">SUMPRODUCT((FEV!M_Verweiszeile=$H62)*FEV!M_ProdTag*(FEV!M_Monat=$E62))</f>
        <v>0</v>
      </c>
      <c r="V62" s="232" cm="1">
        <f t="array" ref="V62">SUMPRODUCT((FEV!M_Verweiszeile=$H62)*FEV!M_ProdN1*(FEV!M_Monat=$E62))</f>
        <v>0</v>
      </c>
      <c r="W62" s="232" cm="1">
        <f t="array" ref="W62">SUMPRODUCT((FEV!M_Verweiszeile=$H62)*FEV!M_ProdN2*(FEV!M_Monat=$E62))</f>
        <v>0</v>
      </c>
      <c r="X62" s="232" cm="1">
        <f t="array" ref="X62">SUMPRODUCT((FEV!M_Verweiszeile=$H62)*FEV!M_Reise*(FEV!M_Monat=$E62))</f>
        <v>0</v>
      </c>
      <c r="Y62" s="232" cm="1">
        <f t="array" ref="Y62">SUMPRODUCT((FEV!M_Verweiszeile=$H62)*FEV!M_Reiseabzug*(FEV!M_Monat=$E62))</f>
        <v>0</v>
      </c>
      <c r="Z62" s="232">
        <f t="shared" si="12"/>
        <v>0</v>
      </c>
      <c r="AA62" s="232">
        <f t="shared" si="2"/>
        <v>0</v>
      </c>
      <c r="AB62" s="232">
        <f t="shared" si="3"/>
        <v>0</v>
      </c>
      <c r="AC62" s="232">
        <f t="shared" si="13"/>
        <v>0</v>
      </c>
      <c r="AD62" s="232">
        <f t="shared" si="14"/>
        <v>0</v>
      </c>
      <c r="AE62" s="232">
        <f t="shared" si="15"/>
        <v>0</v>
      </c>
    </row>
    <row r="63" spans="3:31" x14ac:dyDescent="0.2">
      <c r="C63" s="128">
        <v>54</v>
      </c>
      <c r="D63" s="186">
        <f t="shared" si="16"/>
        <v>46076</v>
      </c>
      <c r="E63" s="128">
        <f t="shared" si="4"/>
        <v>2</v>
      </c>
      <c r="F63" s="187">
        <f t="shared" si="5"/>
        <v>46076</v>
      </c>
      <c r="G63" s="128">
        <f t="shared" si="6"/>
        <v>9</v>
      </c>
      <c r="H63" s="128">
        <f t="shared" si="7"/>
        <v>23</v>
      </c>
      <c r="I63" s="128">
        <f t="shared" si="8"/>
        <v>1</v>
      </c>
      <c r="J63" s="188">
        <f t="shared" si="9"/>
        <v>46076</v>
      </c>
      <c r="K63" s="128" t="str" cm="1">
        <f t="array" ref="K63">IF(AND(I63&lt;7,INDEX(B_tblFTMatrix,$E63,$H63)="x"),"ft","")</f>
        <v/>
      </c>
      <c r="L63" s="128"/>
      <c r="M63" s="128"/>
      <c r="N63" s="128">
        <f t="shared" si="0"/>
        <v>1</v>
      </c>
      <c r="O63" s="128">
        <f t="shared" si="10"/>
        <v>1</v>
      </c>
      <c r="P63" s="227">
        <f t="shared" si="1"/>
        <v>8</v>
      </c>
      <c r="Q63" s="229" cm="1">
        <f t="array" ref="Q63">SUMPRODUCT((H_tblBGTage=I63)*(H_tblBGMnt=E63)*H_tblBG%)</f>
        <v>1</v>
      </c>
      <c r="R63" s="227">
        <f t="shared" si="11"/>
        <v>8</v>
      </c>
      <c r="S63" s="233"/>
      <c r="T63" s="233"/>
      <c r="U63" s="232" cm="1">
        <f t="array" ref="U63">SUMPRODUCT((FEV!M_Verweiszeile=$H63)*FEV!M_ProdTag*(FEV!M_Monat=$E63))</f>
        <v>0</v>
      </c>
      <c r="V63" s="232" cm="1">
        <f t="array" ref="V63">SUMPRODUCT((FEV!M_Verweiszeile=$H63)*FEV!M_ProdN1*(FEV!M_Monat=$E63))</f>
        <v>0</v>
      </c>
      <c r="W63" s="232" cm="1">
        <f t="array" ref="W63">SUMPRODUCT((FEV!M_Verweiszeile=$H63)*FEV!M_ProdN2*(FEV!M_Monat=$E63))</f>
        <v>0</v>
      </c>
      <c r="X63" s="232" cm="1">
        <f t="array" ref="X63">SUMPRODUCT((FEV!M_Verweiszeile=$H63)*FEV!M_Reise*(FEV!M_Monat=$E63))</f>
        <v>0</v>
      </c>
      <c r="Y63" s="232" cm="1">
        <f t="array" ref="Y63">SUMPRODUCT((FEV!M_Verweiszeile=$H63)*FEV!M_Reiseabzug*(FEV!M_Monat=$E63))</f>
        <v>0</v>
      </c>
      <c r="Z63" s="232">
        <f t="shared" si="12"/>
        <v>0</v>
      </c>
      <c r="AA63" s="232">
        <f t="shared" si="2"/>
        <v>0</v>
      </c>
      <c r="AB63" s="232">
        <f t="shared" si="3"/>
        <v>0</v>
      </c>
      <c r="AC63" s="232">
        <f t="shared" si="13"/>
        <v>0</v>
      </c>
      <c r="AD63" s="232">
        <f t="shared" si="14"/>
        <v>0</v>
      </c>
      <c r="AE63" s="232">
        <f t="shared" si="15"/>
        <v>0</v>
      </c>
    </row>
    <row r="64" spans="3:31" x14ac:dyDescent="0.2">
      <c r="C64" s="128">
        <v>55</v>
      </c>
      <c r="D64" s="186">
        <f t="shared" si="16"/>
        <v>46077</v>
      </c>
      <c r="E64" s="128">
        <f t="shared" si="4"/>
        <v>2</v>
      </c>
      <c r="F64" s="187">
        <f t="shared" si="5"/>
        <v>46077</v>
      </c>
      <c r="G64" s="128">
        <f t="shared" si="6"/>
        <v>9</v>
      </c>
      <c r="H64" s="128">
        <f t="shared" si="7"/>
        <v>24</v>
      </c>
      <c r="I64" s="128">
        <f t="shared" si="8"/>
        <v>2</v>
      </c>
      <c r="J64" s="188">
        <f t="shared" si="9"/>
        <v>46077</v>
      </c>
      <c r="K64" s="128" t="str" cm="1">
        <f t="array" ref="K64">IF(AND(I64&lt;7,INDEX(B_tblFTMatrix,$E64,$H64)="x"),"ft","")</f>
        <v/>
      </c>
      <c r="L64" s="128"/>
      <c r="M64" s="128"/>
      <c r="N64" s="128">
        <f t="shared" si="0"/>
        <v>1</v>
      </c>
      <c r="O64" s="128">
        <f t="shared" si="10"/>
        <v>1</v>
      </c>
      <c r="P64" s="227">
        <f t="shared" si="1"/>
        <v>8</v>
      </c>
      <c r="Q64" s="229" cm="1">
        <f t="array" ref="Q64">SUMPRODUCT((H_tblBGTage=I64)*(H_tblBGMnt=E64)*H_tblBG%)</f>
        <v>1</v>
      </c>
      <c r="R64" s="227">
        <f t="shared" si="11"/>
        <v>8</v>
      </c>
      <c r="S64" s="233"/>
      <c r="T64" s="233"/>
      <c r="U64" s="232" cm="1">
        <f t="array" ref="U64">SUMPRODUCT((FEV!M_Verweiszeile=$H64)*FEV!M_ProdTag*(FEV!M_Monat=$E64))</f>
        <v>0</v>
      </c>
      <c r="V64" s="232" cm="1">
        <f t="array" ref="V64">SUMPRODUCT((FEV!M_Verweiszeile=$H64)*FEV!M_ProdN1*(FEV!M_Monat=$E64))</f>
        <v>0</v>
      </c>
      <c r="W64" s="232" cm="1">
        <f t="array" ref="W64">SUMPRODUCT((FEV!M_Verweiszeile=$H64)*FEV!M_ProdN2*(FEV!M_Monat=$E64))</f>
        <v>0</v>
      </c>
      <c r="X64" s="232" cm="1">
        <f t="array" ref="X64">SUMPRODUCT((FEV!M_Verweiszeile=$H64)*FEV!M_Reise*(FEV!M_Monat=$E64))</f>
        <v>0</v>
      </c>
      <c r="Y64" s="232" cm="1">
        <f t="array" ref="Y64">SUMPRODUCT((FEV!M_Verweiszeile=$H64)*FEV!M_Reiseabzug*(FEV!M_Monat=$E64))</f>
        <v>0</v>
      </c>
      <c r="Z64" s="232">
        <f t="shared" si="12"/>
        <v>0</v>
      </c>
      <c r="AA64" s="232">
        <f t="shared" si="2"/>
        <v>0</v>
      </c>
      <c r="AB64" s="232">
        <f t="shared" si="3"/>
        <v>0</v>
      </c>
      <c r="AC64" s="232">
        <f t="shared" si="13"/>
        <v>0</v>
      </c>
      <c r="AD64" s="232">
        <f t="shared" si="14"/>
        <v>0</v>
      </c>
      <c r="AE64" s="232">
        <f t="shared" si="15"/>
        <v>0</v>
      </c>
    </row>
    <row r="65" spans="3:31" x14ac:dyDescent="0.2">
      <c r="C65" s="128">
        <v>56</v>
      </c>
      <c r="D65" s="186">
        <f t="shared" si="16"/>
        <v>46078</v>
      </c>
      <c r="E65" s="128">
        <f t="shared" si="4"/>
        <v>2</v>
      </c>
      <c r="F65" s="187">
        <f t="shared" si="5"/>
        <v>46078</v>
      </c>
      <c r="G65" s="128">
        <f t="shared" si="6"/>
        <v>9</v>
      </c>
      <c r="H65" s="128">
        <f t="shared" si="7"/>
        <v>25</v>
      </c>
      <c r="I65" s="128">
        <f t="shared" si="8"/>
        <v>3</v>
      </c>
      <c r="J65" s="188">
        <f t="shared" si="9"/>
        <v>46078</v>
      </c>
      <c r="K65" s="128" t="str" cm="1">
        <f t="array" ref="K65">IF(AND(I65&lt;7,INDEX(B_tblFTMatrix,$E65,$H65)="x"),"ft","")</f>
        <v/>
      </c>
      <c r="L65" s="128"/>
      <c r="M65" s="128"/>
      <c r="N65" s="128">
        <f t="shared" si="0"/>
        <v>1</v>
      </c>
      <c r="O65" s="128">
        <f t="shared" si="10"/>
        <v>1</v>
      </c>
      <c r="P65" s="227">
        <f t="shared" si="1"/>
        <v>8</v>
      </c>
      <c r="Q65" s="229" cm="1">
        <f t="array" ref="Q65">SUMPRODUCT((H_tblBGTage=I65)*(H_tblBGMnt=E65)*H_tblBG%)</f>
        <v>1</v>
      </c>
      <c r="R65" s="227">
        <f t="shared" si="11"/>
        <v>8</v>
      </c>
      <c r="S65" s="233"/>
      <c r="T65" s="233"/>
      <c r="U65" s="232" cm="1">
        <f t="array" ref="U65">SUMPRODUCT((FEV!M_Verweiszeile=$H65)*FEV!M_ProdTag*(FEV!M_Monat=$E65))</f>
        <v>0</v>
      </c>
      <c r="V65" s="232" cm="1">
        <f t="array" ref="V65">SUMPRODUCT((FEV!M_Verweiszeile=$H65)*FEV!M_ProdN1*(FEV!M_Monat=$E65))</f>
        <v>0</v>
      </c>
      <c r="W65" s="232" cm="1">
        <f t="array" ref="W65">SUMPRODUCT((FEV!M_Verweiszeile=$H65)*FEV!M_ProdN2*(FEV!M_Monat=$E65))</f>
        <v>0</v>
      </c>
      <c r="X65" s="232" cm="1">
        <f t="array" ref="X65">SUMPRODUCT((FEV!M_Verweiszeile=$H65)*FEV!M_Reise*(FEV!M_Monat=$E65))</f>
        <v>0</v>
      </c>
      <c r="Y65" s="232" cm="1">
        <f t="array" ref="Y65">SUMPRODUCT((FEV!M_Verweiszeile=$H65)*FEV!M_Reiseabzug*(FEV!M_Monat=$E65))</f>
        <v>0</v>
      </c>
      <c r="Z65" s="232">
        <f t="shared" si="12"/>
        <v>0</v>
      </c>
      <c r="AA65" s="232">
        <f t="shared" si="2"/>
        <v>0</v>
      </c>
      <c r="AB65" s="232">
        <f t="shared" si="3"/>
        <v>0</v>
      </c>
      <c r="AC65" s="232">
        <f t="shared" si="13"/>
        <v>0</v>
      </c>
      <c r="AD65" s="232">
        <f t="shared" si="14"/>
        <v>0</v>
      </c>
      <c r="AE65" s="232">
        <f t="shared" si="15"/>
        <v>0</v>
      </c>
    </row>
    <row r="66" spans="3:31" x14ac:dyDescent="0.2">
      <c r="C66" s="128">
        <v>57</v>
      </c>
      <c r="D66" s="186">
        <f t="shared" si="16"/>
        <v>46079</v>
      </c>
      <c r="E66" s="128">
        <f t="shared" si="4"/>
        <v>2</v>
      </c>
      <c r="F66" s="187">
        <f t="shared" si="5"/>
        <v>46079</v>
      </c>
      <c r="G66" s="128">
        <f t="shared" si="6"/>
        <v>9</v>
      </c>
      <c r="H66" s="128">
        <f t="shared" si="7"/>
        <v>26</v>
      </c>
      <c r="I66" s="128">
        <f t="shared" si="8"/>
        <v>4</v>
      </c>
      <c r="J66" s="188">
        <f t="shared" si="9"/>
        <v>46079</v>
      </c>
      <c r="K66" s="128" t="str" cm="1">
        <f t="array" ref="K66">IF(AND(I66&lt;7,INDEX(B_tblFTMatrix,$E66,$H66)="x"),"ft","")</f>
        <v/>
      </c>
      <c r="L66" s="128"/>
      <c r="M66" s="128"/>
      <c r="N66" s="128">
        <f t="shared" si="0"/>
        <v>1</v>
      </c>
      <c r="O66" s="128">
        <f t="shared" si="10"/>
        <v>1</v>
      </c>
      <c r="P66" s="227">
        <f t="shared" si="1"/>
        <v>8</v>
      </c>
      <c r="Q66" s="229" cm="1">
        <f t="array" ref="Q66">SUMPRODUCT((H_tblBGTage=I66)*(H_tblBGMnt=E66)*H_tblBG%)</f>
        <v>1</v>
      </c>
      <c r="R66" s="227">
        <f t="shared" si="11"/>
        <v>8</v>
      </c>
      <c r="S66" s="233"/>
      <c r="T66" s="233"/>
      <c r="U66" s="232" cm="1">
        <f t="array" ref="U66">SUMPRODUCT((FEV!M_Verweiszeile=$H66)*FEV!M_ProdTag*(FEV!M_Monat=$E66))</f>
        <v>0</v>
      </c>
      <c r="V66" s="232" cm="1">
        <f t="array" ref="V66">SUMPRODUCT((FEV!M_Verweiszeile=$H66)*FEV!M_ProdN1*(FEV!M_Monat=$E66))</f>
        <v>0</v>
      </c>
      <c r="W66" s="232" cm="1">
        <f t="array" ref="W66">SUMPRODUCT((FEV!M_Verweiszeile=$H66)*FEV!M_ProdN2*(FEV!M_Monat=$E66))</f>
        <v>0</v>
      </c>
      <c r="X66" s="232" cm="1">
        <f t="array" ref="X66">SUMPRODUCT((FEV!M_Verweiszeile=$H66)*FEV!M_Reise*(FEV!M_Monat=$E66))</f>
        <v>0</v>
      </c>
      <c r="Y66" s="232" cm="1">
        <f t="array" ref="Y66">SUMPRODUCT((FEV!M_Verweiszeile=$H66)*FEV!M_Reiseabzug*(FEV!M_Monat=$E66))</f>
        <v>0</v>
      </c>
      <c r="Z66" s="232">
        <f t="shared" si="12"/>
        <v>0</v>
      </c>
      <c r="AA66" s="232">
        <f t="shared" si="2"/>
        <v>0</v>
      </c>
      <c r="AB66" s="232">
        <f t="shared" si="3"/>
        <v>0</v>
      </c>
      <c r="AC66" s="232">
        <f t="shared" si="13"/>
        <v>0</v>
      </c>
      <c r="AD66" s="232">
        <f t="shared" si="14"/>
        <v>0</v>
      </c>
      <c r="AE66" s="232">
        <f t="shared" si="15"/>
        <v>0</v>
      </c>
    </row>
    <row r="67" spans="3:31" x14ac:dyDescent="0.2">
      <c r="C67" s="128">
        <v>58</v>
      </c>
      <c r="D67" s="186">
        <f t="shared" si="16"/>
        <v>46080</v>
      </c>
      <c r="E67" s="128">
        <f t="shared" si="4"/>
        <v>2</v>
      </c>
      <c r="F67" s="187">
        <f t="shared" si="5"/>
        <v>46080</v>
      </c>
      <c r="G67" s="128">
        <f t="shared" si="6"/>
        <v>9</v>
      </c>
      <c r="H67" s="128">
        <f t="shared" si="7"/>
        <v>27</v>
      </c>
      <c r="I67" s="128">
        <f t="shared" si="8"/>
        <v>5</v>
      </c>
      <c r="J67" s="188">
        <f t="shared" si="9"/>
        <v>46080</v>
      </c>
      <c r="K67" s="128" t="str" cm="1">
        <f t="array" ref="K67">IF(AND(I67&lt;7,INDEX(B_tblFTMatrix,$E67,$H67)="x"),"ft","")</f>
        <v/>
      </c>
      <c r="L67" s="128"/>
      <c r="M67" s="128"/>
      <c r="N67" s="128">
        <f t="shared" si="0"/>
        <v>1</v>
      </c>
      <c r="O67" s="128">
        <f t="shared" si="10"/>
        <v>1</v>
      </c>
      <c r="P67" s="227">
        <f t="shared" si="1"/>
        <v>8</v>
      </c>
      <c r="Q67" s="229" cm="1">
        <f t="array" ref="Q67">SUMPRODUCT((H_tblBGTage=I67)*(H_tblBGMnt=E67)*H_tblBG%)</f>
        <v>1</v>
      </c>
      <c r="R67" s="227">
        <f t="shared" si="11"/>
        <v>8</v>
      </c>
      <c r="S67" s="233"/>
      <c r="T67" s="233"/>
      <c r="U67" s="232" cm="1">
        <f t="array" ref="U67">SUMPRODUCT((FEV!M_Verweiszeile=$H67)*FEV!M_ProdTag*(FEV!M_Monat=$E67))</f>
        <v>0</v>
      </c>
      <c r="V67" s="232" cm="1">
        <f t="array" ref="V67">SUMPRODUCT((FEV!M_Verweiszeile=$H67)*FEV!M_ProdN1*(FEV!M_Monat=$E67))</f>
        <v>0</v>
      </c>
      <c r="W67" s="232" cm="1">
        <f t="array" ref="W67">SUMPRODUCT((FEV!M_Verweiszeile=$H67)*FEV!M_ProdN2*(FEV!M_Monat=$E67))</f>
        <v>0</v>
      </c>
      <c r="X67" s="232" cm="1">
        <f t="array" ref="X67">SUMPRODUCT((FEV!M_Verweiszeile=$H67)*FEV!M_Reise*(FEV!M_Monat=$E67))</f>
        <v>0</v>
      </c>
      <c r="Y67" s="232" cm="1">
        <f t="array" ref="Y67">SUMPRODUCT((FEV!M_Verweiszeile=$H67)*FEV!M_Reiseabzug*(FEV!M_Monat=$E67))</f>
        <v>0</v>
      </c>
      <c r="Z67" s="232">
        <f t="shared" si="12"/>
        <v>0</v>
      </c>
      <c r="AA67" s="232">
        <f t="shared" si="2"/>
        <v>0</v>
      </c>
      <c r="AB67" s="232">
        <f t="shared" si="3"/>
        <v>0</v>
      </c>
      <c r="AC67" s="232">
        <f t="shared" si="13"/>
        <v>0</v>
      </c>
      <c r="AD67" s="232">
        <f t="shared" si="14"/>
        <v>0</v>
      </c>
      <c r="AE67" s="232">
        <f t="shared" si="15"/>
        <v>0</v>
      </c>
    </row>
    <row r="68" spans="3:31" x14ac:dyDescent="0.2">
      <c r="C68" s="128">
        <v>59</v>
      </c>
      <c r="D68" s="186">
        <f t="shared" si="16"/>
        <v>46081</v>
      </c>
      <c r="E68" s="128">
        <f t="shared" si="4"/>
        <v>2</v>
      </c>
      <c r="F68" s="187">
        <f t="shared" si="5"/>
        <v>46081</v>
      </c>
      <c r="G68" s="128">
        <f t="shared" si="6"/>
        <v>9</v>
      </c>
      <c r="H68" s="128">
        <f t="shared" si="7"/>
        <v>28</v>
      </c>
      <c r="I68" s="128">
        <f t="shared" si="8"/>
        <v>6</v>
      </c>
      <c r="J68" s="188">
        <f t="shared" si="9"/>
        <v>46081</v>
      </c>
      <c r="K68" s="128" t="str" cm="1">
        <f t="array" ref="K68">IF(AND(I68&lt;7,INDEX(B_tblFTMatrix,$E68,$H68)="x"),"ft","")</f>
        <v/>
      </c>
      <c r="L68" s="128"/>
      <c r="M68" s="128"/>
      <c r="N68" s="128">
        <f t="shared" si="0"/>
        <v>0</v>
      </c>
      <c r="O68" s="128">
        <f t="shared" si="10"/>
        <v>0</v>
      </c>
      <c r="P68" s="227">
        <f t="shared" si="1"/>
        <v>0</v>
      </c>
      <c r="Q68" s="229" cm="1">
        <f t="array" ref="Q68">SUMPRODUCT((H_tblBGTage=I68)*(H_tblBGMnt=E68)*H_tblBG%)</f>
        <v>0</v>
      </c>
      <c r="R68" s="227">
        <f t="shared" si="11"/>
        <v>0</v>
      </c>
      <c r="S68" s="233"/>
      <c r="T68" s="233"/>
      <c r="U68" s="232" cm="1">
        <f t="array" ref="U68">SUMPRODUCT((FEV!M_Verweiszeile=$H68)*FEV!M_ProdTag*(FEV!M_Monat=$E68))</f>
        <v>0</v>
      </c>
      <c r="V68" s="232" cm="1">
        <f t="array" ref="V68">SUMPRODUCT((FEV!M_Verweiszeile=$H68)*FEV!M_ProdN1*(FEV!M_Monat=$E68))</f>
        <v>0</v>
      </c>
      <c r="W68" s="232" cm="1">
        <f t="array" ref="W68">SUMPRODUCT((FEV!M_Verweiszeile=$H68)*FEV!M_ProdN2*(FEV!M_Monat=$E68))</f>
        <v>0</v>
      </c>
      <c r="X68" s="232" cm="1">
        <f t="array" ref="X68">SUMPRODUCT((FEV!M_Verweiszeile=$H68)*FEV!M_Reise*(FEV!M_Monat=$E68))</f>
        <v>0</v>
      </c>
      <c r="Y68" s="232" cm="1">
        <f t="array" ref="Y68">SUMPRODUCT((FEV!M_Verweiszeile=$H68)*FEV!M_Reiseabzug*(FEV!M_Monat=$E68))</f>
        <v>0</v>
      </c>
      <c r="Z68" s="232">
        <f t="shared" si="12"/>
        <v>0</v>
      </c>
      <c r="AA68" s="232">
        <f t="shared" si="2"/>
        <v>0</v>
      </c>
      <c r="AB68" s="232">
        <f t="shared" si="3"/>
        <v>0</v>
      </c>
      <c r="AC68" s="232">
        <f t="shared" si="13"/>
        <v>0</v>
      </c>
      <c r="AD68" s="232">
        <f t="shared" si="14"/>
        <v>0</v>
      </c>
      <c r="AE68" s="232">
        <f t="shared" si="15"/>
        <v>0</v>
      </c>
    </row>
    <row r="69" spans="3:31" x14ac:dyDescent="0.2">
      <c r="C69" s="128">
        <v>60</v>
      </c>
      <c r="D69" s="186">
        <f t="shared" si="16"/>
        <v>46082</v>
      </c>
      <c r="E69" s="128">
        <f t="shared" si="4"/>
        <v>3</v>
      </c>
      <c r="F69" s="187">
        <f t="shared" si="5"/>
        <v>46082</v>
      </c>
      <c r="G69" s="128">
        <f t="shared" si="6"/>
        <v>9</v>
      </c>
      <c r="H69" s="128">
        <f t="shared" si="7"/>
        <v>1</v>
      </c>
      <c r="I69" s="128">
        <f t="shared" si="8"/>
        <v>7</v>
      </c>
      <c r="J69" s="188">
        <f t="shared" si="9"/>
        <v>46082</v>
      </c>
      <c r="K69" s="128" t="str" cm="1">
        <f t="array" ref="K69">IF(AND(I69&lt;7,INDEX(B_tblFTMatrix,$E69,$H69)="x"),"ft","")</f>
        <v/>
      </c>
      <c r="L69" s="128"/>
      <c r="M69" s="128"/>
      <c r="N69" s="128">
        <f t="shared" si="0"/>
        <v>0</v>
      </c>
      <c r="O69" s="128">
        <f t="shared" si="10"/>
        <v>0</v>
      </c>
      <c r="P69" s="227">
        <f t="shared" si="1"/>
        <v>0</v>
      </c>
      <c r="Q69" s="229" cm="1">
        <f t="array" ref="Q69">SUMPRODUCT((H_tblBGTage=I69)*(H_tblBGMnt=E69)*H_tblBG%)</f>
        <v>0</v>
      </c>
      <c r="R69" s="227">
        <f t="shared" si="11"/>
        <v>0</v>
      </c>
      <c r="S69" s="233"/>
      <c r="T69" s="233"/>
      <c r="U69" s="311" cm="1">
        <f t="array" ref="U69">SUMPRODUCT((FEV!M_Verweiszeile=$H69)*FEV!M_ProdTag*(FEV!M_Monat=$E69))+SUMPRODUCT((MAR!M_Verweiszeile=$H69)*MAR!M_ProdTag*(MAR!M_Monat=$E69))</f>
        <v>0</v>
      </c>
      <c r="V69" s="232" cm="1">
        <f t="array" ref="V69">SUMPRODUCT((FEV!M_Verweiszeile=$H69)*FEV!M_ProdN1*(FEV!M_Monat=$E69))+SUMPRODUCT((MAR!M_Verweiszeile=$H69)*MAR!M_ProdN1*(MAR!M_Monat=$E69))</f>
        <v>0</v>
      </c>
      <c r="W69" s="232" cm="1">
        <f t="array" ref="W69">SUMPRODUCT((FEV!M_Verweiszeile=$H69)*FEV!M_ProdN2*(FEV!M_Monat=$E69))+SUMPRODUCT((MAR!M_Verweiszeile=$H69)*MAR!M_ProdN2*(MAR!M_Monat=$E69))</f>
        <v>0</v>
      </c>
      <c r="X69" s="232" cm="1">
        <f t="array" ref="X69">SUMPRODUCT((FEV!M_Verweiszeile=$H69)*FEV!M_Reise*(FEV!M_Monat=$E69))+SUMPRODUCT((MAR!M_Verweiszeile=$H69)*MAR!M_Reise*(MAR!M_Monat=$E69))</f>
        <v>0</v>
      </c>
      <c r="Y69" s="232" cm="1">
        <f t="array" ref="Y69">SUMPRODUCT((FEV!M_Verweiszeile=$H69)*FEV!M_Reiseabzug*(FEV!M_Monat=$E69))+SUMPRODUCT((MAR!M_Verweiszeile=$H69)*MAR!M_Reiseabzug*(MAR!M_Monat=$E69))</f>
        <v>0</v>
      </c>
      <c r="Z69" s="232">
        <f t="shared" si="12"/>
        <v>0</v>
      </c>
      <c r="AA69" s="232">
        <f t="shared" si="2"/>
        <v>0</v>
      </c>
      <c r="AB69" s="232">
        <f t="shared" si="3"/>
        <v>0</v>
      </c>
      <c r="AC69" s="232">
        <f t="shared" si="13"/>
        <v>0</v>
      </c>
      <c r="AD69" s="232">
        <f t="shared" si="14"/>
        <v>0</v>
      </c>
      <c r="AE69" s="232">
        <f t="shared" si="15"/>
        <v>0</v>
      </c>
    </row>
    <row r="70" spans="3:31" x14ac:dyDescent="0.2">
      <c r="C70" s="128">
        <v>61</v>
      </c>
      <c r="D70" s="186">
        <f t="shared" si="16"/>
        <v>46083</v>
      </c>
      <c r="E70" s="128">
        <f t="shared" si="4"/>
        <v>3</v>
      </c>
      <c r="F70" s="187">
        <f t="shared" si="5"/>
        <v>46083</v>
      </c>
      <c r="G70" s="128">
        <f t="shared" si="6"/>
        <v>10</v>
      </c>
      <c r="H70" s="128">
        <f t="shared" si="7"/>
        <v>2</v>
      </c>
      <c r="I70" s="128">
        <f t="shared" si="8"/>
        <v>1</v>
      </c>
      <c r="J70" s="188">
        <f t="shared" si="9"/>
        <v>46083</v>
      </c>
      <c r="K70" s="128" t="str" cm="1">
        <f t="array" ref="K70">IF(AND(I70&lt;7,INDEX(B_tblFTMatrix,$E70,$H70)="x"),"ft","")</f>
        <v/>
      </c>
      <c r="L70" s="128"/>
      <c r="M70" s="128"/>
      <c r="N70" s="128">
        <f t="shared" si="0"/>
        <v>1</v>
      </c>
      <c r="O70" s="128">
        <f t="shared" si="10"/>
        <v>1</v>
      </c>
      <c r="P70" s="227">
        <f t="shared" si="1"/>
        <v>8</v>
      </c>
      <c r="Q70" s="229" cm="1">
        <f t="array" ref="Q70">SUMPRODUCT((H_tblBGTage=I70)*(H_tblBGMnt=E70)*H_tblBG%)</f>
        <v>1</v>
      </c>
      <c r="R70" s="227">
        <f t="shared" si="11"/>
        <v>8</v>
      </c>
      <c r="S70" s="233"/>
      <c r="T70" s="233"/>
      <c r="U70" s="311" cm="1">
        <f t="array" ref="U70">SUMPRODUCT((MAR!M_Verweiszeile=$H70)*MAR!M_ProdTag*(MAR!M_Monat=$E70))</f>
        <v>0</v>
      </c>
      <c r="V70" s="232" cm="1">
        <f t="array" ref="V70">SUMPRODUCT((MAR!M_Verweiszeile=$H70)*MAR!M_ProdN1*(MAR!M_Monat=$E70))</f>
        <v>0</v>
      </c>
      <c r="W70" s="232" cm="1">
        <f t="array" ref="W70">SUMPRODUCT((MAR!M_Verweiszeile=$H70)*MAR!M_ProdN2*(MAR!M_Monat=$E70))</f>
        <v>0</v>
      </c>
      <c r="X70" s="232" cm="1">
        <f t="array" ref="X70">SUMPRODUCT((MAR!M_Verweiszeile=$H70)*MAR!M_Reise*(MAR!M_Monat=$E70))</f>
        <v>0</v>
      </c>
      <c r="Y70" s="232" cm="1">
        <f t="array" ref="Y70">SUMPRODUCT((MAR!M_Verweiszeile=$H70)*MAR!M_Reiseabzug*(MAR!M_Monat=$E70))</f>
        <v>0</v>
      </c>
      <c r="Z70" s="232">
        <f t="shared" si="12"/>
        <v>0</v>
      </c>
      <c r="AA70" s="232">
        <f t="shared" si="2"/>
        <v>0</v>
      </c>
      <c r="AB70" s="232">
        <f t="shared" si="3"/>
        <v>0</v>
      </c>
      <c r="AC70" s="232">
        <f t="shared" si="13"/>
        <v>0</v>
      </c>
      <c r="AD70" s="232">
        <f t="shared" si="14"/>
        <v>0</v>
      </c>
      <c r="AE70" s="232">
        <f t="shared" si="15"/>
        <v>0</v>
      </c>
    </row>
    <row r="71" spans="3:31" x14ac:dyDescent="0.2">
      <c r="C71" s="128">
        <v>62</v>
      </c>
      <c r="D71" s="186">
        <f t="shared" si="16"/>
        <v>46084</v>
      </c>
      <c r="E71" s="128">
        <f t="shared" si="4"/>
        <v>3</v>
      </c>
      <c r="F71" s="187">
        <f t="shared" si="5"/>
        <v>46084</v>
      </c>
      <c r="G71" s="128">
        <f t="shared" si="6"/>
        <v>10</v>
      </c>
      <c r="H71" s="128">
        <f t="shared" si="7"/>
        <v>3</v>
      </c>
      <c r="I71" s="128">
        <f t="shared" si="8"/>
        <v>2</v>
      </c>
      <c r="J71" s="188">
        <f t="shared" si="9"/>
        <v>46084</v>
      </c>
      <c r="K71" s="128" t="str" cm="1">
        <f t="array" ref="K71">IF(AND(I71&lt;7,INDEX(B_tblFTMatrix,$E71,$H71)="x"),"ft","")</f>
        <v/>
      </c>
      <c r="L71" s="128"/>
      <c r="M71" s="128"/>
      <c r="N71" s="128">
        <f t="shared" si="0"/>
        <v>1</v>
      </c>
      <c r="O71" s="128">
        <f t="shared" si="10"/>
        <v>1</v>
      </c>
      <c r="P71" s="227">
        <f t="shared" si="1"/>
        <v>8</v>
      </c>
      <c r="Q71" s="229" cm="1">
        <f t="array" ref="Q71">SUMPRODUCT((H_tblBGTage=I71)*(H_tblBGMnt=E71)*H_tblBG%)</f>
        <v>1</v>
      </c>
      <c r="R71" s="227">
        <f t="shared" si="11"/>
        <v>8</v>
      </c>
      <c r="S71" s="233"/>
      <c r="T71" s="233"/>
      <c r="U71" s="232" cm="1">
        <f t="array" ref="U71">SUMPRODUCT((MAR!M_Verweiszeile=$H71)*MAR!M_ProdTag*(MAR!M_Monat=$E71))</f>
        <v>0</v>
      </c>
      <c r="V71" s="232" cm="1">
        <f t="array" ref="V71">SUMPRODUCT((MAR!M_Verweiszeile=$H71)*MAR!M_ProdN1*(MAR!M_Monat=$E71))</f>
        <v>0</v>
      </c>
      <c r="W71" s="232" cm="1">
        <f t="array" ref="W71">SUMPRODUCT((MAR!M_Verweiszeile=$H71)*MAR!M_ProdN2*(MAR!M_Monat=$E71))</f>
        <v>0</v>
      </c>
      <c r="X71" s="232" cm="1">
        <f t="array" ref="X71">SUMPRODUCT((MAR!M_Verweiszeile=$H71)*MAR!M_Reise*(MAR!M_Monat=$E71))</f>
        <v>0</v>
      </c>
      <c r="Y71" s="232" cm="1">
        <f t="array" ref="Y71">SUMPRODUCT((MAR!M_Verweiszeile=$H71)*MAR!M_Reiseabzug*(MAR!M_Monat=$E71))</f>
        <v>0</v>
      </c>
      <c r="Z71" s="232">
        <f t="shared" si="12"/>
        <v>0</v>
      </c>
      <c r="AA71" s="232">
        <f t="shared" si="2"/>
        <v>0</v>
      </c>
      <c r="AB71" s="232">
        <f t="shared" si="3"/>
        <v>0</v>
      </c>
      <c r="AC71" s="232">
        <f t="shared" si="13"/>
        <v>0</v>
      </c>
      <c r="AD71" s="232">
        <f t="shared" si="14"/>
        <v>0</v>
      </c>
      <c r="AE71" s="232">
        <f t="shared" si="15"/>
        <v>0</v>
      </c>
    </row>
    <row r="72" spans="3:31" x14ac:dyDescent="0.2">
      <c r="C72" s="128">
        <v>63</v>
      </c>
      <c r="D72" s="186">
        <f t="shared" si="16"/>
        <v>46085</v>
      </c>
      <c r="E72" s="128">
        <f t="shared" si="4"/>
        <v>3</v>
      </c>
      <c r="F72" s="187">
        <f t="shared" si="5"/>
        <v>46085</v>
      </c>
      <c r="G72" s="128">
        <f t="shared" si="6"/>
        <v>10</v>
      </c>
      <c r="H72" s="128">
        <f t="shared" si="7"/>
        <v>4</v>
      </c>
      <c r="I72" s="128">
        <f t="shared" si="8"/>
        <v>3</v>
      </c>
      <c r="J72" s="188">
        <f t="shared" si="9"/>
        <v>46085</v>
      </c>
      <c r="K72" s="128" t="str" cm="1">
        <f t="array" ref="K72">IF(AND(I72&lt;7,INDEX(B_tblFTMatrix,$E72,$H72)="x"),"ft","")</f>
        <v/>
      </c>
      <c r="L72" s="128"/>
      <c r="M72" s="128"/>
      <c r="N72" s="128">
        <f t="shared" si="0"/>
        <v>1</v>
      </c>
      <c r="O72" s="128">
        <f t="shared" si="10"/>
        <v>1</v>
      </c>
      <c r="P72" s="227">
        <f t="shared" si="1"/>
        <v>8</v>
      </c>
      <c r="Q72" s="229" cm="1">
        <f t="array" ref="Q72">SUMPRODUCT((H_tblBGTage=I72)*(H_tblBGMnt=E72)*H_tblBG%)</f>
        <v>1</v>
      </c>
      <c r="R72" s="227">
        <f t="shared" si="11"/>
        <v>8</v>
      </c>
      <c r="S72" s="233"/>
      <c r="T72" s="233"/>
      <c r="U72" s="232" cm="1">
        <f t="array" ref="U72">SUMPRODUCT((MAR!M_Verweiszeile=$H72)*MAR!M_ProdTag*(MAR!M_Monat=$E72))</f>
        <v>0</v>
      </c>
      <c r="V72" s="232" cm="1">
        <f t="array" ref="V72">SUMPRODUCT((MAR!M_Verweiszeile=$H72)*MAR!M_ProdN1*(MAR!M_Monat=$E72))</f>
        <v>0</v>
      </c>
      <c r="W72" s="232" cm="1">
        <f t="array" ref="W72">SUMPRODUCT((MAR!M_Verweiszeile=$H72)*MAR!M_ProdN2*(MAR!M_Monat=$E72))</f>
        <v>0</v>
      </c>
      <c r="X72" s="232" cm="1">
        <f t="array" ref="X72">SUMPRODUCT((MAR!M_Verweiszeile=$H72)*MAR!M_Reise*(MAR!M_Monat=$E72))</f>
        <v>0</v>
      </c>
      <c r="Y72" s="232" cm="1">
        <f t="array" ref="Y72">SUMPRODUCT((MAR!M_Verweiszeile=$H72)*MAR!M_Reiseabzug*(MAR!M_Monat=$E72))</f>
        <v>0</v>
      </c>
      <c r="Z72" s="232">
        <f t="shared" si="12"/>
        <v>0</v>
      </c>
      <c r="AA72" s="232">
        <f t="shared" si="2"/>
        <v>0</v>
      </c>
      <c r="AB72" s="232">
        <f t="shared" si="3"/>
        <v>0</v>
      </c>
      <c r="AC72" s="232">
        <f t="shared" si="13"/>
        <v>0</v>
      </c>
      <c r="AD72" s="232">
        <f t="shared" si="14"/>
        <v>0</v>
      </c>
      <c r="AE72" s="232">
        <f t="shared" si="15"/>
        <v>0</v>
      </c>
    </row>
    <row r="73" spans="3:31" x14ac:dyDescent="0.2">
      <c r="C73" s="128">
        <v>64</v>
      </c>
      <c r="D73" s="186">
        <f t="shared" si="16"/>
        <v>46086</v>
      </c>
      <c r="E73" s="128">
        <f t="shared" si="4"/>
        <v>3</v>
      </c>
      <c r="F73" s="187">
        <f t="shared" si="5"/>
        <v>46086</v>
      </c>
      <c r="G73" s="128">
        <f t="shared" si="6"/>
        <v>10</v>
      </c>
      <c r="H73" s="128">
        <f t="shared" si="7"/>
        <v>5</v>
      </c>
      <c r="I73" s="128">
        <f t="shared" si="8"/>
        <v>4</v>
      </c>
      <c r="J73" s="188">
        <f t="shared" si="9"/>
        <v>46086</v>
      </c>
      <c r="K73" s="128" t="str" cm="1">
        <f t="array" ref="K73">IF(AND(I73&lt;7,INDEX(B_tblFTMatrix,$E73,$H73)="x"),"ft","")</f>
        <v/>
      </c>
      <c r="L73" s="128"/>
      <c r="M73" s="128"/>
      <c r="N73" s="128">
        <f t="shared" si="0"/>
        <v>1</v>
      </c>
      <c r="O73" s="128">
        <f t="shared" si="10"/>
        <v>1</v>
      </c>
      <c r="P73" s="227">
        <f t="shared" si="1"/>
        <v>8</v>
      </c>
      <c r="Q73" s="229" cm="1">
        <f t="array" ref="Q73">SUMPRODUCT((H_tblBGTage=I73)*(H_tblBGMnt=E73)*H_tblBG%)</f>
        <v>1</v>
      </c>
      <c r="R73" s="227">
        <f t="shared" si="11"/>
        <v>8</v>
      </c>
      <c r="S73" s="233"/>
      <c r="T73" s="233"/>
      <c r="U73" s="232" cm="1">
        <f t="array" ref="U73">SUMPRODUCT((MAR!M_Verweiszeile=$H73)*MAR!M_ProdTag*(MAR!M_Monat=$E73))</f>
        <v>0</v>
      </c>
      <c r="V73" s="232" cm="1">
        <f t="array" ref="V73">SUMPRODUCT((MAR!M_Verweiszeile=$H73)*MAR!M_ProdN1*(MAR!M_Monat=$E73))</f>
        <v>0</v>
      </c>
      <c r="W73" s="232" cm="1">
        <f t="array" ref="W73">SUMPRODUCT((MAR!M_Verweiszeile=$H73)*MAR!M_ProdN2*(MAR!M_Monat=$E73))</f>
        <v>0</v>
      </c>
      <c r="X73" s="232" cm="1">
        <f t="array" ref="X73">SUMPRODUCT((MAR!M_Verweiszeile=$H73)*MAR!M_Reise*(MAR!M_Monat=$E73))</f>
        <v>0</v>
      </c>
      <c r="Y73" s="232" cm="1">
        <f t="array" ref="Y73">SUMPRODUCT((MAR!M_Verweiszeile=$H73)*MAR!M_Reiseabzug*(MAR!M_Monat=$E73))</f>
        <v>0</v>
      </c>
      <c r="Z73" s="232">
        <f t="shared" si="12"/>
        <v>0</v>
      </c>
      <c r="AA73" s="232">
        <f t="shared" si="2"/>
        <v>0</v>
      </c>
      <c r="AB73" s="232">
        <f t="shared" si="3"/>
        <v>0</v>
      </c>
      <c r="AC73" s="232">
        <f t="shared" si="13"/>
        <v>0</v>
      </c>
      <c r="AD73" s="232">
        <f t="shared" si="14"/>
        <v>0</v>
      </c>
      <c r="AE73" s="232">
        <f t="shared" si="15"/>
        <v>0</v>
      </c>
    </row>
    <row r="74" spans="3:31" x14ac:dyDescent="0.2">
      <c r="C74" s="128">
        <v>65</v>
      </c>
      <c r="D74" s="186">
        <f t="shared" si="16"/>
        <v>46087</v>
      </c>
      <c r="E74" s="128">
        <f t="shared" si="4"/>
        <v>3</v>
      </c>
      <c r="F74" s="187">
        <f t="shared" si="5"/>
        <v>46087</v>
      </c>
      <c r="G74" s="128">
        <f t="shared" si="6"/>
        <v>10</v>
      </c>
      <c r="H74" s="128">
        <f t="shared" si="7"/>
        <v>6</v>
      </c>
      <c r="I74" s="128">
        <f t="shared" si="8"/>
        <v>5</v>
      </c>
      <c r="J74" s="188">
        <f t="shared" si="9"/>
        <v>46087</v>
      </c>
      <c r="K74" s="128" t="str" cm="1">
        <f t="array" ref="K74">IF(AND(I74&lt;7,INDEX(B_tblFTMatrix,$E74,$H74)="x"),"ft","")</f>
        <v/>
      </c>
      <c r="L74" s="128"/>
      <c r="M74" s="128"/>
      <c r="N74" s="128">
        <f t="shared" ref="N74:N137" si="17">IF(I74&lt;6,1,0)</f>
        <v>1</v>
      </c>
      <c r="O74" s="128">
        <f t="shared" si="10"/>
        <v>1</v>
      </c>
      <c r="P74" s="227">
        <f t="shared" ref="P74:P137" si="18">IFERROR($E$3*N74,0)</f>
        <v>8</v>
      </c>
      <c r="Q74" s="229" cm="1">
        <f t="array" ref="Q74">SUMPRODUCT((H_tblBGTage=I74)*(H_tblBGMnt=E74)*H_tblBG%)</f>
        <v>1</v>
      </c>
      <c r="R74" s="227">
        <f t="shared" si="11"/>
        <v>8</v>
      </c>
      <c r="S74" s="233"/>
      <c r="T74" s="233"/>
      <c r="U74" s="232" cm="1">
        <f t="array" ref="U74">SUMPRODUCT((MAR!M_Verweiszeile=$H74)*MAR!M_ProdTag*(MAR!M_Monat=$E74))</f>
        <v>0</v>
      </c>
      <c r="V74" s="232" cm="1">
        <f t="array" ref="V74">SUMPRODUCT((MAR!M_Verweiszeile=$H74)*MAR!M_ProdN1*(MAR!M_Monat=$E74))</f>
        <v>0</v>
      </c>
      <c r="W74" s="232" cm="1">
        <f t="array" ref="W74">SUMPRODUCT((MAR!M_Verweiszeile=$H74)*MAR!M_ProdN2*(MAR!M_Monat=$E74))</f>
        <v>0</v>
      </c>
      <c r="X74" s="232" cm="1">
        <f t="array" ref="X74">SUMPRODUCT((MAR!M_Verweiszeile=$H74)*MAR!M_Reise*(MAR!M_Monat=$E74))</f>
        <v>0</v>
      </c>
      <c r="Y74" s="232" cm="1">
        <f t="array" ref="Y74">SUMPRODUCT((MAR!M_Verweiszeile=$H74)*MAR!M_Reiseabzug*(MAR!M_Monat=$E74))</f>
        <v>0</v>
      </c>
      <c r="Z74" s="232">
        <f t="shared" si="12"/>
        <v>0</v>
      </c>
      <c r="AA74" s="232">
        <f t="shared" ref="AA74:AA137" si="19">IFERROR(IF($K74="ft",R74,0),0)</f>
        <v>0</v>
      </c>
      <c r="AB74" s="232">
        <f t="shared" ref="AB74:AB137" si="20">SUM(V74:W74)*A_fldZ2</f>
        <v>0</v>
      </c>
      <c r="AC74" s="232">
        <f t="shared" si="13"/>
        <v>0</v>
      </c>
      <c r="AD74" s="232">
        <f t="shared" si="14"/>
        <v>0</v>
      </c>
      <c r="AE74" s="232">
        <f t="shared" si="15"/>
        <v>0</v>
      </c>
    </row>
    <row r="75" spans="3:31" x14ac:dyDescent="0.2">
      <c r="C75" s="128">
        <v>66</v>
      </c>
      <c r="D75" s="186">
        <f t="shared" si="16"/>
        <v>46088</v>
      </c>
      <c r="E75" s="128">
        <f t="shared" ref="E75:E138" si="21">MONTH(D75)</f>
        <v>3</v>
      </c>
      <c r="F75" s="187">
        <f t="shared" ref="F75:F138" si="22">D75</f>
        <v>46088</v>
      </c>
      <c r="G75" s="128">
        <f t="shared" ref="G75:G138" si="23">_xlfn.ISOWEEKNUM(D75)</f>
        <v>10</v>
      </c>
      <c r="H75" s="128">
        <f t="shared" ref="H75:H138" si="24">DAY(D75)</f>
        <v>7</v>
      </c>
      <c r="I75" s="128">
        <f t="shared" ref="I75:I138" si="25">WEEKDAY(D75,2)</f>
        <v>6</v>
      </c>
      <c r="J75" s="188">
        <f t="shared" ref="J75:J138" si="26">D75</f>
        <v>46088</v>
      </c>
      <c r="K75" s="128" t="str" cm="1">
        <f t="array" ref="K75">IF(AND(I75&lt;7,INDEX(B_tblFTMatrix,$E75,$H75)="x"),"ft","")</f>
        <v/>
      </c>
      <c r="L75" s="128"/>
      <c r="M75" s="128"/>
      <c r="N75" s="128">
        <f t="shared" si="17"/>
        <v>0</v>
      </c>
      <c r="O75" s="128">
        <f t="shared" ref="O75:O138" si="27">IF(AND(L75&lt;&gt;"x",N75),1,0)</f>
        <v>0</v>
      </c>
      <c r="P75" s="227">
        <f t="shared" si="18"/>
        <v>0</v>
      </c>
      <c r="Q75" s="229" cm="1">
        <f t="array" ref="Q75">SUMPRODUCT((H_tblBGTage=I75)*(H_tblBGMnt=E75)*H_tblBG%)</f>
        <v>0</v>
      </c>
      <c r="R75" s="227">
        <f t="shared" ref="R75:R138" si="28">IFERROR(P75*Q75,0)</f>
        <v>0</v>
      </c>
      <c r="S75" s="233"/>
      <c r="T75" s="233"/>
      <c r="U75" s="232" cm="1">
        <f t="array" ref="U75">SUMPRODUCT((MAR!M_Verweiszeile=$H75)*MAR!M_ProdTag*(MAR!M_Monat=$E75))</f>
        <v>0</v>
      </c>
      <c r="V75" s="232" cm="1">
        <f t="array" ref="V75">SUMPRODUCT((MAR!M_Verweiszeile=$H75)*MAR!M_ProdN1*(MAR!M_Monat=$E75))</f>
        <v>0</v>
      </c>
      <c r="W75" s="232" cm="1">
        <f t="array" ref="W75">SUMPRODUCT((MAR!M_Verweiszeile=$H75)*MAR!M_ProdN2*(MAR!M_Monat=$E75))</f>
        <v>0</v>
      </c>
      <c r="X75" s="232" cm="1">
        <f t="array" ref="X75">SUMPRODUCT((MAR!M_Verweiszeile=$H75)*MAR!M_Reise*(MAR!M_Monat=$E75))</f>
        <v>0</v>
      </c>
      <c r="Y75" s="232" cm="1">
        <f t="array" ref="Y75">SUMPRODUCT((MAR!M_Verweiszeile=$H75)*MAR!M_Reiseabzug*(MAR!M_Monat=$E75))</f>
        <v>0</v>
      </c>
      <c r="Z75" s="232">
        <f t="shared" ref="Z75:Z138" si="29">SUM(U75:X75)-Y75</f>
        <v>0</v>
      </c>
      <c r="AA75" s="232">
        <f t="shared" si="19"/>
        <v>0</v>
      </c>
      <c r="AB75" s="232">
        <f t="shared" si="20"/>
        <v>0</v>
      </c>
      <c r="AC75" s="232">
        <f t="shared" ref="AC75:AC138" si="30">IF(OR(I75=7,K75="ft"),U75,0)</f>
        <v>0</v>
      </c>
      <c r="AD75" s="232">
        <f t="shared" ref="AD75:AD138" si="31">SUM(AA75:AC75)</f>
        <v>0</v>
      </c>
      <c r="AE75" s="232">
        <f t="shared" ref="AE75:AE138" si="32">Z75+AD75</f>
        <v>0</v>
      </c>
    </row>
    <row r="76" spans="3:31" x14ac:dyDescent="0.2">
      <c r="C76" s="128">
        <v>67</v>
      </c>
      <c r="D76" s="186">
        <f t="shared" ref="D76:D139" si="33">D75+1</f>
        <v>46089</v>
      </c>
      <c r="E76" s="128">
        <f t="shared" si="21"/>
        <v>3</v>
      </c>
      <c r="F76" s="187">
        <f t="shared" si="22"/>
        <v>46089</v>
      </c>
      <c r="G76" s="128">
        <f t="shared" si="23"/>
        <v>10</v>
      </c>
      <c r="H76" s="128">
        <f t="shared" si="24"/>
        <v>8</v>
      </c>
      <c r="I76" s="128">
        <f t="shared" si="25"/>
        <v>7</v>
      </c>
      <c r="J76" s="188">
        <f t="shared" si="26"/>
        <v>46089</v>
      </c>
      <c r="K76" s="128" t="str" cm="1">
        <f t="array" ref="K76">IF(AND(I76&lt;7,INDEX(B_tblFTMatrix,$E76,$H76)="x"),"ft","")</f>
        <v/>
      </c>
      <c r="L76" s="128"/>
      <c r="M76" s="128"/>
      <c r="N76" s="128">
        <f t="shared" si="17"/>
        <v>0</v>
      </c>
      <c r="O76" s="128">
        <f t="shared" si="27"/>
        <v>0</v>
      </c>
      <c r="P76" s="227">
        <f t="shared" si="18"/>
        <v>0</v>
      </c>
      <c r="Q76" s="229" cm="1">
        <f t="array" ref="Q76">SUMPRODUCT((H_tblBGTage=I76)*(H_tblBGMnt=E76)*H_tblBG%)</f>
        <v>0</v>
      </c>
      <c r="R76" s="227">
        <f t="shared" si="28"/>
        <v>0</v>
      </c>
      <c r="S76" s="233"/>
      <c r="T76" s="233"/>
      <c r="U76" s="232" cm="1">
        <f t="array" ref="U76">SUMPRODUCT((MAR!M_Verweiszeile=$H76)*MAR!M_ProdTag*(MAR!M_Monat=$E76))</f>
        <v>0</v>
      </c>
      <c r="V76" s="232" cm="1">
        <f t="array" ref="V76">SUMPRODUCT((MAR!M_Verweiszeile=$H76)*MAR!M_ProdN1*(MAR!M_Monat=$E76))</f>
        <v>0</v>
      </c>
      <c r="W76" s="232" cm="1">
        <f t="array" ref="W76">SUMPRODUCT((MAR!M_Verweiszeile=$H76)*MAR!M_ProdN2*(MAR!M_Monat=$E76))</f>
        <v>0</v>
      </c>
      <c r="X76" s="232" cm="1">
        <f t="array" ref="X76">SUMPRODUCT((MAR!M_Verweiszeile=$H76)*MAR!M_Reise*(MAR!M_Monat=$E76))</f>
        <v>0</v>
      </c>
      <c r="Y76" s="232" cm="1">
        <f t="array" ref="Y76">SUMPRODUCT((MAR!M_Verweiszeile=$H76)*MAR!M_Reiseabzug*(MAR!M_Monat=$E76))</f>
        <v>0</v>
      </c>
      <c r="Z76" s="232">
        <f t="shared" si="29"/>
        <v>0</v>
      </c>
      <c r="AA76" s="232">
        <f t="shared" si="19"/>
        <v>0</v>
      </c>
      <c r="AB76" s="232">
        <f t="shared" si="20"/>
        <v>0</v>
      </c>
      <c r="AC76" s="232">
        <f t="shared" si="30"/>
        <v>0</v>
      </c>
      <c r="AD76" s="232">
        <f t="shared" si="31"/>
        <v>0</v>
      </c>
      <c r="AE76" s="232">
        <f t="shared" si="32"/>
        <v>0</v>
      </c>
    </row>
    <row r="77" spans="3:31" x14ac:dyDescent="0.2">
      <c r="C77" s="128">
        <v>68</v>
      </c>
      <c r="D77" s="186">
        <f t="shared" si="33"/>
        <v>46090</v>
      </c>
      <c r="E77" s="128">
        <f t="shared" si="21"/>
        <v>3</v>
      </c>
      <c r="F77" s="187">
        <f t="shared" si="22"/>
        <v>46090</v>
      </c>
      <c r="G77" s="128">
        <f t="shared" si="23"/>
        <v>11</v>
      </c>
      <c r="H77" s="128">
        <f t="shared" si="24"/>
        <v>9</v>
      </c>
      <c r="I77" s="128">
        <f t="shared" si="25"/>
        <v>1</v>
      </c>
      <c r="J77" s="188">
        <f t="shared" si="26"/>
        <v>46090</v>
      </c>
      <c r="K77" s="128" t="str" cm="1">
        <f t="array" ref="K77">IF(AND(I77&lt;7,INDEX(B_tblFTMatrix,$E77,$H77)="x"),"ft","")</f>
        <v/>
      </c>
      <c r="L77" s="128"/>
      <c r="M77" s="128"/>
      <c r="N77" s="128">
        <f t="shared" si="17"/>
        <v>1</v>
      </c>
      <c r="O77" s="128">
        <f t="shared" si="27"/>
        <v>1</v>
      </c>
      <c r="P77" s="227">
        <f t="shared" si="18"/>
        <v>8</v>
      </c>
      <c r="Q77" s="229" cm="1">
        <f t="array" ref="Q77">SUMPRODUCT((H_tblBGTage=I77)*(H_tblBGMnt=E77)*H_tblBG%)</f>
        <v>1</v>
      </c>
      <c r="R77" s="227">
        <f t="shared" si="28"/>
        <v>8</v>
      </c>
      <c r="S77" s="233"/>
      <c r="T77" s="233"/>
      <c r="U77" s="232" cm="1">
        <f t="array" ref="U77">SUMPRODUCT((MAR!M_Verweiszeile=$H77)*MAR!M_ProdTag*(MAR!M_Monat=$E77))</f>
        <v>0</v>
      </c>
      <c r="V77" s="232" cm="1">
        <f t="array" ref="V77">SUMPRODUCT((MAR!M_Verweiszeile=$H77)*MAR!M_ProdN1*(MAR!M_Monat=$E77))</f>
        <v>0</v>
      </c>
      <c r="W77" s="232" cm="1">
        <f t="array" ref="W77">SUMPRODUCT((MAR!M_Verweiszeile=$H77)*MAR!M_ProdN2*(MAR!M_Monat=$E77))</f>
        <v>0</v>
      </c>
      <c r="X77" s="232" cm="1">
        <f t="array" ref="X77">SUMPRODUCT((MAR!M_Verweiszeile=$H77)*MAR!M_Reise*(MAR!M_Monat=$E77))</f>
        <v>0</v>
      </c>
      <c r="Y77" s="232" cm="1">
        <f t="array" ref="Y77">SUMPRODUCT((MAR!M_Verweiszeile=$H77)*MAR!M_Reiseabzug*(MAR!M_Monat=$E77))</f>
        <v>0</v>
      </c>
      <c r="Z77" s="232">
        <f t="shared" si="29"/>
        <v>0</v>
      </c>
      <c r="AA77" s="232">
        <f t="shared" si="19"/>
        <v>0</v>
      </c>
      <c r="AB77" s="232">
        <f t="shared" si="20"/>
        <v>0</v>
      </c>
      <c r="AC77" s="232">
        <f t="shared" si="30"/>
        <v>0</v>
      </c>
      <c r="AD77" s="232">
        <f t="shared" si="31"/>
        <v>0</v>
      </c>
      <c r="AE77" s="232">
        <f t="shared" si="32"/>
        <v>0</v>
      </c>
    </row>
    <row r="78" spans="3:31" x14ac:dyDescent="0.2">
      <c r="C78" s="128">
        <v>69</v>
      </c>
      <c r="D78" s="186">
        <f t="shared" si="33"/>
        <v>46091</v>
      </c>
      <c r="E78" s="128">
        <f t="shared" si="21"/>
        <v>3</v>
      </c>
      <c r="F78" s="187">
        <f t="shared" si="22"/>
        <v>46091</v>
      </c>
      <c r="G78" s="128">
        <f t="shared" si="23"/>
        <v>11</v>
      </c>
      <c r="H78" s="128">
        <f t="shared" si="24"/>
        <v>10</v>
      </c>
      <c r="I78" s="128">
        <f t="shared" si="25"/>
        <v>2</v>
      </c>
      <c r="J78" s="188">
        <f t="shared" si="26"/>
        <v>46091</v>
      </c>
      <c r="K78" s="128" t="str" cm="1">
        <f t="array" ref="K78">IF(AND(I78&lt;7,INDEX(B_tblFTMatrix,$E78,$H78)="x"),"ft","")</f>
        <v/>
      </c>
      <c r="L78" s="128"/>
      <c r="M78" s="128"/>
      <c r="N78" s="128">
        <f t="shared" si="17"/>
        <v>1</v>
      </c>
      <c r="O78" s="128">
        <f t="shared" si="27"/>
        <v>1</v>
      </c>
      <c r="P78" s="227">
        <f t="shared" si="18"/>
        <v>8</v>
      </c>
      <c r="Q78" s="229" cm="1">
        <f t="array" ref="Q78">SUMPRODUCT((H_tblBGTage=I78)*(H_tblBGMnt=E78)*H_tblBG%)</f>
        <v>1</v>
      </c>
      <c r="R78" s="227">
        <f t="shared" si="28"/>
        <v>8</v>
      </c>
      <c r="S78" s="233"/>
      <c r="T78" s="233"/>
      <c r="U78" s="232" cm="1">
        <f t="array" ref="U78">SUMPRODUCT((MAR!M_Verweiszeile=$H78)*MAR!M_ProdTag*(MAR!M_Monat=$E78))</f>
        <v>0</v>
      </c>
      <c r="V78" s="232" cm="1">
        <f t="array" ref="V78">SUMPRODUCT((MAR!M_Verweiszeile=$H78)*MAR!M_ProdN1*(MAR!M_Monat=$E78))</f>
        <v>0</v>
      </c>
      <c r="W78" s="232" cm="1">
        <f t="array" ref="W78">SUMPRODUCT((MAR!M_Verweiszeile=$H78)*MAR!M_ProdN2*(MAR!M_Monat=$E78))</f>
        <v>0</v>
      </c>
      <c r="X78" s="232" cm="1">
        <f t="array" ref="X78">SUMPRODUCT((MAR!M_Verweiszeile=$H78)*MAR!M_Reise*(MAR!M_Monat=$E78))</f>
        <v>0</v>
      </c>
      <c r="Y78" s="232" cm="1">
        <f t="array" ref="Y78">SUMPRODUCT((MAR!M_Verweiszeile=$H78)*MAR!M_Reiseabzug*(MAR!M_Monat=$E78))</f>
        <v>0</v>
      </c>
      <c r="Z78" s="232">
        <f t="shared" si="29"/>
        <v>0</v>
      </c>
      <c r="AA78" s="232">
        <f t="shared" si="19"/>
        <v>0</v>
      </c>
      <c r="AB78" s="232">
        <f t="shared" si="20"/>
        <v>0</v>
      </c>
      <c r="AC78" s="232">
        <f t="shared" si="30"/>
        <v>0</v>
      </c>
      <c r="AD78" s="232">
        <f t="shared" si="31"/>
        <v>0</v>
      </c>
      <c r="AE78" s="232">
        <f t="shared" si="32"/>
        <v>0</v>
      </c>
    </row>
    <row r="79" spans="3:31" x14ac:dyDescent="0.2">
      <c r="C79" s="128">
        <v>70</v>
      </c>
      <c r="D79" s="186">
        <f t="shared" si="33"/>
        <v>46092</v>
      </c>
      <c r="E79" s="128">
        <f t="shared" si="21"/>
        <v>3</v>
      </c>
      <c r="F79" s="187">
        <f t="shared" si="22"/>
        <v>46092</v>
      </c>
      <c r="G79" s="128">
        <f t="shared" si="23"/>
        <v>11</v>
      </c>
      <c r="H79" s="128">
        <f t="shared" si="24"/>
        <v>11</v>
      </c>
      <c r="I79" s="128">
        <f t="shared" si="25"/>
        <v>3</v>
      </c>
      <c r="J79" s="188">
        <f t="shared" si="26"/>
        <v>46092</v>
      </c>
      <c r="K79" s="128" t="str" cm="1">
        <f t="array" ref="K79">IF(AND(I79&lt;7,INDEX(B_tblFTMatrix,$E79,$H79)="x"),"ft","")</f>
        <v/>
      </c>
      <c r="L79" s="128"/>
      <c r="M79" s="128"/>
      <c r="N79" s="128">
        <f t="shared" si="17"/>
        <v>1</v>
      </c>
      <c r="O79" s="128">
        <f t="shared" si="27"/>
        <v>1</v>
      </c>
      <c r="P79" s="227">
        <f t="shared" si="18"/>
        <v>8</v>
      </c>
      <c r="Q79" s="229" cm="1">
        <f t="array" ref="Q79">SUMPRODUCT((H_tblBGTage=I79)*(H_tblBGMnt=E79)*H_tblBG%)</f>
        <v>1</v>
      </c>
      <c r="R79" s="227">
        <f t="shared" si="28"/>
        <v>8</v>
      </c>
      <c r="S79" s="233"/>
      <c r="T79" s="233"/>
      <c r="U79" s="232" cm="1">
        <f t="array" ref="U79">SUMPRODUCT((MAR!M_Verweiszeile=$H79)*MAR!M_ProdTag*(MAR!M_Monat=$E79))</f>
        <v>0</v>
      </c>
      <c r="V79" s="232" cm="1">
        <f t="array" ref="V79">SUMPRODUCT((MAR!M_Verweiszeile=$H79)*MAR!M_ProdN1*(MAR!M_Monat=$E79))</f>
        <v>0</v>
      </c>
      <c r="W79" s="232" cm="1">
        <f t="array" ref="W79">SUMPRODUCT((MAR!M_Verweiszeile=$H79)*MAR!M_ProdN2*(MAR!M_Monat=$E79))</f>
        <v>0</v>
      </c>
      <c r="X79" s="232" cm="1">
        <f t="array" ref="X79">SUMPRODUCT((MAR!M_Verweiszeile=$H79)*MAR!M_Reise*(MAR!M_Monat=$E79))</f>
        <v>0</v>
      </c>
      <c r="Y79" s="232" cm="1">
        <f t="array" ref="Y79">SUMPRODUCT((MAR!M_Verweiszeile=$H79)*MAR!M_Reiseabzug*(MAR!M_Monat=$E79))</f>
        <v>0</v>
      </c>
      <c r="Z79" s="232">
        <f t="shared" si="29"/>
        <v>0</v>
      </c>
      <c r="AA79" s="232">
        <f t="shared" si="19"/>
        <v>0</v>
      </c>
      <c r="AB79" s="232">
        <f t="shared" si="20"/>
        <v>0</v>
      </c>
      <c r="AC79" s="232">
        <f t="shared" si="30"/>
        <v>0</v>
      </c>
      <c r="AD79" s="232">
        <f t="shared" si="31"/>
        <v>0</v>
      </c>
      <c r="AE79" s="232">
        <f t="shared" si="32"/>
        <v>0</v>
      </c>
    </row>
    <row r="80" spans="3:31" x14ac:dyDescent="0.2">
      <c r="C80" s="128">
        <v>71</v>
      </c>
      <c r="D80" s="186">
        <f t="shared" si="33"/>
        <v>46093</v>
      </c>
      <c r="E80" s="128">
        <f t="shared" si="21"/>
        <v>3</v>
      </c>
      <c r="F80" s="187">
        <f t="shared" si="22"/>
        <v>46093</v>
      </c>
      <c r="G80" s="128">
        <f t="shared" si="23"/>
        <v>11</v>
      </c>
      <c r="H80" s="128">
        <f t="shared" si="24"/>
        <v>12</v>
      </c>
      <c r="I80" s="128">
        <f t="shared" si="25"/>
        <v>4</v>
      </c>
      <c r="J80" s="188">
        <f t="shared" si="26"/>
        <v>46093</v>
      </c>
      <c r="K80" s="128" t="str" cm="1">
        <f t="array" ref="K80">IF(AND(I80&lt;7,INDEX(B_tblFTMatrix,$E80,$H80)="x"),"ft","")</f>
        <v/>
      </c>
      <c r="L80" s="128"/>
      <c r="M80" s="128"/>
      <c r="N80" s="128">
        <f t="shared" si="17"/>
        <v>1</v>
      </c>
      <c r="O80" s="128">
        <f t="shared" si="27"/>
        <v>1</v>
      </c>
      <c r="P80" s="227">
        <f t="shared" si="18"/>
        <v>8</v>
      </c>
      <c r="Q80" s="229" cm="1">
        <f t="array" ref="Q80">SUMPRODUCT((H_tblBGTage=I80)*(H_tblBGMnt=E80)*H_tblBG%)</f>
        <v>1</v>
      </c>
      <c r="R80" s="227">
        <f t="shared" si="28"/>
        <v>8</v>
      </c>
      <c r="S80" s="233"/>
      <c r="T80" s="233"/>
      <c r="U80" s="232" cm="1">
        <f t="array" ref="U80">SUMPRODUCT((MAR!M_Verweiszeile=$H80)*MAR!M_ProdTag*(MAR!M_Monat=$E80))</f>
        <v>0</v>
      </c>
      <c r="V80" s="232" cm="1">
        <f t="array" ref="V80">SUMPRODUCT((MAR!M_Verweiszeile=$H80)*MAR!M_ProdN1*(MAR!M_Monat=$E80))</f>
        <v>0</v>
      </c>
      <c r="W80" s="232" cm="1">
        <f t="array" ref="W80">SUMPRODUCT((MAR!M_Verweiszeile=$H80)*MAR!M_ProdN2*(MAR!M_Monat=$E80))</f>
        <v>0</v>
      </c>
      <c r="X80" s="232" cm="1">
        <f t="array" ref="X80">SUMPRODUCT((MAR!M_Verweiszeile=$H80)*MAR!M_Reise*(MAR!M_Monat=$E80))</f>
        <v>0</v>
      </c>
      <c r="Y80" s="232" cm="1">
        <f t="array" ref="Y80">SUMPRODUCT((MAR!M_Verweiszeile=$H80)*MAR!M_Reiseabzug*(MAR!M_Monat=$E80))</f>
        <v>0</v>
      </c>
      <c r="Z80" s="232">
        <f t="shared" si="29"/>
        <v>0</v>
      </c>
      <c r="AA80" s="232">
        <f t="shared" si="19"/>
        <v>0</v>
      </c>
      <c r="AB80" s="232">
        <f t="shared" si="20"/>
        <v>0</v>
      </c>
      <c r="AC80" s="232">
        <f t="shared" si="30"/>
        <v>0</v>
      </c>
      <c r="AD80" s="232">
        <f t="shared" si="31"/>
        <v>0</v>
      </c>
      <c r="AE80" s="232">
        <f t="shared" si="32"/>
        <v>0</v>
      </c>
    </row>
    <row r="81" spans="3:31" x14ac:dyDescent="0.2">
      <c r="C81" s="128">
        <v>72</v>
      </c>
      <c r="D81" s="186">
        <f t="shared" si="33"/>
        <v>46094</v>
      </c>
      <c r="E81" s="128">
        <f t="shared" si="21"/>
        <v>3</v>
      </c>
      <c r="F81" s="187">
        <f t="shared" si="22"/>
        <v>46094</v>
      </c>
      <c r="G81" s="128">
        <f t="shared" si="23"/>
        <v>11</v>
      </c>
      <c r="H81" s="128">
        <f t="shared" si="24"/>
        <v>13</v>
      </c>
      <c r="I81" s="128">
        <f t="shared" si="25"/>
        <v>5</v>
      </c>
      <c r="J81" s="188">
        <f t="shared" si="26"/>
        <v>46094</v>
      </c>
      <c r="K81" s="128" t="str" cm="1">
        <f t="array" ref="K81">IF(AND(I81&lt;7,INDEX(B_tblFTMatrix,$E81,$H81)="x"),"ft","")</f>
        <v/>
      </c>
      <c r="L81" s="128"/>
      <c r="M81" s="128"/>
      <c r="N81" s="128">
        <f t="shared" si="17"/>
        <v>1</v>
      </c>
      <c r="O81" s="128">
        <f t="shared" si="27"/>
        <v>1</v>
      </c>
      <c r="P81" s="227">
        <f t="shared" si="18"/>
        <v>8</v>
      </c>
      <c r="Q81" s="229" cm="1">
        <f t="array" ref="Q81">SUMPRODUCT((H_tblBGTage=I81)*(H_tblBGMnt=E81)*H_tblBG%)</f>
        <v>1</v>
      </c>
      <c r="R81" s="227">
        <f t="shared" si="28"/>
        <v>8</v>
      </c>
      <c r="S81" s="233"/>
      <c r="T81" s="233"/>
      <c r="U81" s="232" cm="1">
        <f t="array" ref="U81">SUMPRODUCT((MAR!M_Verweiszeile=$H81)*MAR!M_ProdTag*(MAR!M_Monat=$E81))</f>
        <v>0</v>
      </c>
      <c r="V81" s="232" cm="1">
        <f t="array" ref="V81">SUMPRODUCT((MAR!M_Verweiszeile=$H81)*MAR!M_ProdN1*(MAR!M_Monat=$E81))</f>
        <v>0</v>
      </c>
      <c r="W81" s="232" cm="1">
        <f t="array" ref="W81">SUMPRODUCT((MAR!M_Verweiszeile=$H81)*MAR!M_ProdN2*(MAR!M_Monat=$E81))</f>
        <v>0</v>
      </c>
      <c r="X81" s="232" cm="1">
        <f t="array" ref="X81">SUMPRODUCT((MAR!M_Verweiszeile=$H81)*MAR!M_Reise*(MAR!M_Monat=$E81))</f>
        <v>0</v>
      </c>
      <c r="Y81" s="232" cm="1">
        <f t="array" ref="Y81">SUMPRODUCT((MAR!M_Verweiszeile=$H81)*MAR!M_Reiseabzug*(MAR!M_Monat=$E81))</f>
        <v>0</v>
      </c>
      <c r="Z81" s="232">
        <f t="shared" si="29"/>
        <v>0</v>
      </c>
      <c r="AA81" s="232">
        <f t="shared" si="19"/>
        <v>0</v>
      </c>
      <c r="AB81" s="232">
        <f t="shared" si="20"/>
        <v>0</v>
      </c>
      <c r="AC81" s="232">
        <f t="shared" si="30"/>
        <v>0</v>
      </c>
      <c r="AD81" s="232">
        <f t="shared" si="31"/>
        <v>0</v>
      </c>
      <c r="AE81" s="232">
        <f t="shared" si="32"/>
        <v>0</v>
      </c>
    </row>
    <row r="82" spans="3:31" x14ac:dyDescent="0.2">
      <c r="C82" s="128">
        <v>73</v>
      </c>
      <c r="D82" s="186">
        <f t="shared" si="33"/>
        <v>46095</v>
      </c>
      <c r="E82" s="128">
        <f t="shared" si="21"/>
        <v>3</v>
      </c>
      <c r="F82" s="187">
        <f t="shared" si="22"/>
        <v>46095</v>
      </c>
      <c r="G82" s="128">
        <f t="shared" si="23"/>
        <v>11</v>
      </c>
      <c r="H82" s="128">
        <f t="shared" si="24"/>
        <v>14</v>
      </c>
      <c r="I82" s="128">
        <f t="shared" si="25"/>
        <v>6</v>
      </c>
      <c r="J82" s="188">
        <f t="shared" si="26"/>
        <v>46095</v>
      </c>
      <c r="K82" s="128" t="str" cm="1">
        <f t="array" ref="K82">IF(AND(I82&lt;7,INDEX(B_tblFTMatrix,$E82,$H82)="x"),"ft","")</f>
        <v/>
      </c>
      <c r="L82" s="128"/>
      <c r="M82" s="128"/>
      <c r="N82" s="128">
        <f t="shared" si="17"/>
        <v>0</v>
      </c>
      <c r="O82" s="128">
        <f t="shared" si="27"/>
        <v>0</v>
      </c>
      <c r="P82" s="227">
        <f t="shared" si="18"/>
        <v>0</v>
      </c>
      <c r="Q82" s="229" cm="1">
        <f t="array" ref="Q82">SUMPRODUCT((H_tblBGTage=I82)*(H_tblBGMnt=E82)*H_tblBG%)</f>
        <v>0</v>
      </c>
      <c r="R82" s="227">
        <f t="shared" si="28"/>
        <v>0</v>
      </c>
      <c r="S82" s="233"/>
      <c r="T82" s="233"/>
      <c r="U82" s="232" cm="1">
        <f t="array" ref="U82">SUMPRODUCT((MAR!M_Verweiszeile=$H82)*MAR!M_ProdTag*(MAR!M_Monat=$E82))</f>
        <v>0</v>
      </c>
      <c r="V82" s="232" cm="1">
        <f t="array" ref="V82">SUMPRODUCT((MAR!M_Verweiszeile=$H82)*MAR!M_ProdN1*(MAR!M_Monat=$E82))</f>
        <v>0</v>
      </c>
      <c r="W82" s="232" cm="1">
        <f t="array" ref="W82">SUMPRODUCT((MAR!M_Verweiszeile=$H82)*MAR!M_ProdN2*(MAR!M_Monat=$E82))</f>
        <v>0</v>
      </c>
      <c r="X82" s="232" cm="1">
        <f t="array" ref="X82">SUMPRODUCT((MAR!M_Verweiszeile=$H82)*MAR!M_Reise*(MAR!M_Monat=$E82))</f>
        <v>0</v>
      </c>
      <c r="Y82" s="232" cm="1">
        <f t="array" ref="Y82">SUMPRODUCT((MAR!M_Verweiszeile=$H82)*MAR!M_Reiseabzug*(MAR!M_Monat=$E82))</f>
        <v>0</v>
      </c>
      <c r="Z82" s="232">
        <f t="shared" si="29"/>
        <v>0</v>
      </c>
      <c r="AA82" s="232">
        <f t="shared" si="19"/>
        <v>0</v>
      </c>
      <c r="AB82" s="232">
        <f t="shared" si="20"/>
        <v>0</v>
      </c>
      <c r="AC82" s="232">
        <f t="shared" si="30"/>
        <v>0</v>
      </c>
      <c r="AD82" s="232">
        <f t="shared" si="31"/>
        <v>0</v>
      </c>
      <c r="AE82" s="232">
        <f t="shared" si="32"/>
        <v>0</v>
      </c>
    </row>
    <row r="83" spans="3:31" x14ac:dyDescent="0.2">
      <c r="C83" s="128">
        <v>74</v>
      </c>
      <c r="D83" s="186">
        <f t="shared" si="33"/>
        <v>46096</v>
      </c>
      <c r="E83" s="128">
        <f t="shared" si="21"/>
        <v>3</v>
      </c>
      <c r="F83" s="187">
        <f t="shared" si="22"/>
        <v>46096</v>
      </c>
      <c r="G83" s="128">
        <f t="shared" si="23"/>
        <v>11</v>
      </c>
      <c r="H83" s="128">
        <f t="shared" si="24"/>
        <v>15</v>
      </c>
      <c r="I83" s="128">
        <f t="shared" si="25"/>
        <v>7</v>
      </c>
      <c r="J83" s="188">
        <f t="shared" si="26"/>
        <v>46096</v>
      </c>
      <c r="K83" s="128" t="str" cm="1">
        <f t="array" ref="K83">IF(AND(I83&lt;7,INDEX(B_tblFTMatrix,$E83,$H83)="x"),"ft","")</f>
        <v/>
      </c>
      <c r="L83" s="128"/>
      <c r="M83" s="128"/>
      <c r="N83" s="128">
        <f t="shared" si="17"/>
        <v>0</v>
      </c>
      <c r="O83" s="128">
        <f t="shared" si="27"/>
        <v>0</v>
      </c>
      <c r="P83" s="227">
        <f t="shared" si="18"/>
        <v>0</v>
      </c>
      <c r="Q83" s="229" cm="1">
        <f t="array" ref="Q83">SUMPRODUCT((H_tblBGTage=I83)*(H_tblBGMnt=E83)*H_tblBG%)</f>
        <v>0</v>
      </c>
      <c r="R83" s="227">
        <f t="shared" si="28"/>
        <v>0</v>
      </c>
      <c r="S83" s="233"/>
      <c r="T83" s="233"/>
      <c r="U83" s="232" cm="1">
        <f t="array" ref="U83">SUMPRODUCT((MAR!M_Verweiszeile=$H83)*MAR!M_ProdTag*(MAR!M_Monat=$E83))</f>
        <v>0</v>
      </c>
      <c r="V83" s="232" cm="1">
        <f t="array" ref="V83">SUMPRODUCT((MAR!M_Verweiszeile=$H83)*MAR!M_ProdN1*(MAR!M_Monat=$E83))</f>
        <v>0</v>
      </c>
      <c r="W83" s="232" cm="1">
        <f t="array" ref="W83">SUMPRODUCT((MAR!M_Verweiszeile=$H83)*MAR!M_ProdN2*(MAR!M_Monat=$E83))</f>
        <v>0</v>
      </c>
      <c r="X83" s="232" cm="1">
        <f t="array" ref="X83">SUMPRODUCT((MAR!M_Verweiszeile=$H83)*MAR!M_Reise*(MAR!M_Monat=$E83))</f>
        <v>0</v>
      </c>
      <c r="Y83" s="232" cm="1">
        <f t="array" ref="Y83">SUMPRODUCT((MAR!M_Verweiszeile=$H83)*MAR!M_Reiseabzug*(MAR!M_Monat=$E83))</f>
        <v>0</v>
      </c>
      <c r="Z83" s="232">
        <f t="shared" si="29"/>
        <v>0</v>
      </c>
      <c r="AA83" s="232">
        <f t="shared" si="19"/>
        <v>0</v>
      </c>
      <c r="AB83" s="232">
        <f t="shared" si="20"/>
        <v>0</v>
      </c>
      <c r="AC83" s="232">
        <f t="shared" si="30"/>
        <v>0</v>
      </c>
      <c r="AD83" s="232">
        <f t="shared" si="31"/>
        <v>0</v>
      </c>
      <c r="AE83" s="232">
        <f t="shared" si="32"/>
        <v>0</v>
      </c>
    </row>
    <row r="84" spans="3:31" x14ac:dyDescent="0.2">
      <c r="C84" s="128">
        <v>75</v>
      </c>
      <c r="D84" s="186">
        <f t="shared" si="33"/>
        <v>46097</v>
      </c>
      <c r="E84" s="128">
        <f t="shared" si="21"/>
        <v>3</v>
      </c>
      <c r="F84" s="187">
        <f t="shared" si="22"/>
        <v>46097</v>
      </c>
      <c r="G84" s="128">
        <f t="shared" si="23"/>
        <v>12</v>
      </c>
      <c r="H84" s="128">
        <f t="shared" si="24"/>
        <v>16</v>
      </c>
      <c r="I84" s="128">
        <f t="shared" si="25"/>
        <v>1</v>
      </c>
      <c r="J84" s="188">
        <f t="shared" si="26"/>
        <v>46097</v>
      </c>
      <c r="K84" s="128" t="str" cm="1">
        <f t="array" ref="K84">IF(AND(I84&lt;7,INDEX(B_tblFTMatrix,$E84,$H84)="x"),"ft","")</f>
        <v/>
      </c>
      <c r="L84" s="128"/>
      <c r="M84" s="128"/>
      <c r="N84" s="128">
        <f t="shared" si="17"/>
        <v>1</v>
      </c>
      <c r="O84" s="128">
        <f t="shared" si="27"/>
        <v>1</v>
      </c>
      <c r="P84" s="227">
        <f t="shared" si="18"/>
        <v>8</v>
      </c>
      <c r="Q84" s="229" cm="1">
        <f t="array" ref="Q84">SUMPRODUCT((H_tblBGTage=I84)*(H_tblBGMnt=E84)*H_tblBG%)</f>
        <v>1</v>
      </c>
      <c r="R84" s="227">
        <f t="shared" si="28"/>
        <v>8</v>
      </c>
      <c r="S84" s="233"/>
      <c r="T84" s="233"/>
      <c r="U84" s="232" cm="1">
        <f t="array" ref="U84">SUMPRODUCT((MAR!M_Verweiszeile=$H84)*MAR!M_ProdTag*(MAR!M_Monat=$E84))</f>
        <v>0</v>
      </c>
      <c r="V84" s="232" cm="1">
        <f t="array" ref="V84">SUMPRODUCT((MAR!M_Verweiszeile=$H84)*MAR!M_ProdN1*(MAR!M_Monat=$E84))</f>
        <v>0</v>
      </c>
      <c r="W84" s="232" cm="1">
        <f t="array" ref="W84">SUMPRODUCT((MAR!M_Verweiszeile=$H84)*MAR!M_ProdN2*(MAR!M_Monat=$E84))</f>
        <v>0</v>
      </c>
      <c r="X84" s="232" cm="1">
        <f t="array" ref="X84">SUMPRODUCT((MAR!M_Verweiszeile=$H84)*MAR!M_Reise*(MAR!M_Monat=$E84))</f>
        <v>0</v>
      </c>
      <c r="Y84" s="232" cm="1">
        <f t="array" ref="Y84">SUMPRODUCT((MAR!M_Verweiszeile=$H84)*MAR!M_Reiseabzug*(MAR!M_Monat=$E84))</f>
        <v>0</v>
      </c>
      <c r="Z84" s="232">
        <f t="shared" si="29"/>
        <v>0</v>
      </c>
      <c r="AA84" s="232">
        <f t="shared" si="19"/>
        <v>0</v>
      </c>
      <c r="AB84" s="232">
        <f t="shared" si="20"/>
        <v>0</v>
      </c>
      <c r="AC84" s="232">
        <f t="shared" si="30"/>
        <v>0</v>
      </c>
      <c r="AD84" s="232">
        <f t="shared" si="31"/>
        <v>0</v>
      </c>
      <c r="AE84" s="232">
        <f t="shared" si="32"/>
        <v>0</v>
      </c>
    </row>
    <row r="85" spans="3:31" x14ac:dyDescent="0.2">
      <c r="C85" s="128">
        <v>76</v>
      </c>
      <c r="D85" s="186">
        <f t="shared" si="33"/>
        <v>46098</v>
      </c>
      <c r="E85" s="128">
        <f t="shared" si="21"/>
        <v>3</v>
      </c>
      <c r="F85" s="187">
        <f t="shared" si="22"/>
        <v>46098</v>
      </c>
      <c r="G85" s="128">
        <f t="shared" si="23"/>
        <v>12</v>
      </c>
      <c r="H85" s="128">
        <f t="shared" si="24"/>
        <v>17</v>
      </c>
      <c r="I85" s="128">
        <f t="shared" si="25"/>
        <v>2</v>
      </c>
      <c r="J85" s="188">
        <f t="shared" si="26"/>
        <v>46098</v>
      </c>
      <c r="K85" s="128" t="str" cm="1">
        <f t="array" ref="K85">IF(AND(I85&lt;7,INDEX(B_tblFTMatrix,$E85,$H85)="x"),"ft","")</f>
        <v/>
      </c>
      <c r="L85" s="128"/>
      <c r="M85" s="128"/>
      <c r="N85" s="128">
        <f t="shared" si="17"/>
        <v>1</v>
      </c>
      <c r="O85" s="128">
        <f t="shared" si="27"/>
        <v>1</v>
      </c>
      <c r="P85" s="227">
        <f t="shared" si="18"/>
        <v>8</v>
      </c>
      <c r="Q85" s="229" cm="1">
        <f t="array" ref="Q85">SUMPRODUCT((H_tblBGTage=I85)*(H_tblBGMnt=E85)*H_tblBG%)</f>
        <v>1</v>
      </c>
      <c r="R85" s="227">
        <f t="shared" si="28"/>
        <v>8</v>
      </c>
      <c r="S85" s="233"/>
      <c r="T85" s="233"/>
      <c r="U85" s="232" cm="1">
        <f t="array" ref="U85">SUMPRODUCT((MAR!M_Verweiszeile=$H85)*MAR!M_ProdTag*(MAR!M_Monat=$E85))</f>
        <v>0</v>
      </c>
      <c r="V85" s="232" cm="1">
        <f t="array" ref="V85">SUMPRODUCT((MAR!M_Verweiszeile=$H85)*MAR!M_ProdN1*(MAR!M_Monat=$E85))</f>
        <v>0</v>
      </c>
      <c r="W85" s="232" cm="1">
        <f t="array" ref="W85">SUMPRODUCT((MAR!M_Verweiszeile=$H85)*MAR!M_ProdN2*(MAR!M_Monat=$E85))</f>
        <v>0</v>
      </c>
      <c r="X85" s="232" cm="1">
        <f t="array" ref="X85">SUMPRODUCT((MAR!M_Verweiszeile=$H85)*MAR!M_Reise*(MAR!M_Monat=$E85))</f>
        <v>0</v>
      </c>
      <c r="Y85" s="232" cm="1">
        <f t="array" ref="Y85">SUMPRODUCT((MAR!M_Verweiszeile=$H85)*MAR!M_Reiseabzug*(MAR!M_Monat=$E85))</f>
        <v>0</v>
      </c>
      <c r="Z85" s="232">
        <f t="shared" si="29"/>
        <v>0</v>
      </c>
      <c r="AA85" s="232">
        <f t="shared" si="19"/>
        <v>0</v>
      </c>
      <c r="AB85" s="232">
        <f t="shared" si="20"/>
        <v>0</v>
      </c>
      <c r="AC85" s="232">
        <f t="shared" si="30"/>
        <v>0</v>
      </c>
      <c r="AD85" s="232">
        <f t="shared" si="31"/>
        <v>0</v>
      </c>
      <c r="AE85" s="232">
        <f t="shared" si="32"/>
        <v>0</v>
      </c>
    </row>
    <row r="86" spans="3:31" x14ac:dyDescent="0.2">
      <c r="C86" s="128">
        <v>77</v>
      </c>
      <c r="D86" s="186">
        <f t="shared" si="33"/>
        <v>46099</v>
      </c>
      <c r="E86" s="128">
        <f t="shared" si="21"/>
        <v>3</v>
      </c>
      <c r="F86" s="187">
        <f t="shared" si="22"/>
        <v>46099</v>
      </c>
      <c r="G86" s="128">
        <f t="shared" si="23"/>
        <v>12</v>
      </c>
      <c r="H86" s="128">
        <f t="shared" si="24"/>
        <v>18</v>
      </c>
      <c r="I86" s="128">
        <f t="shared" si="25"/>
        <v>3</v>
      </c>
      <c r="J86" s="188">
        <f t="shared" si="26"/>
        <v>46099</v>
      </c>
      <c r="K86" s="128" t="str" cm="1">
        <f t="array" ref="K86">IF(AND(I86&lt;7,INDEX(B_tblFTMatrix,$E86,$H86)="x"),"ft","")</f>
        <v/>
      </c>
      <c r="L86" s="128"/>
      <c r="M86" s="128"/>
      <c r="N86" s="128">
        <f t="shared" si="17"/>
        <v>1</v>
      </c>
      <c r="O86" s="128">
        <f t="shared" si="27"/>
        <v>1</v>
      </c>
      <c r="P86" s="227">
        <f t="shared" si="18"/>
        <v>8</v>
      </c>
      <c r="Q86" s="229" cm="1">
        <f t="array" ref="Q86">SUMPRODUCT((H_tblBGTage=I86)*(H_tblBGMnt=E86)*H_tblBG%)</f>
        <v>1</v>
      </c>
      <c r="R86" s="227">
        <f t="shared" si="28"/>
        <v>8</v>
      </c>
      <c r="S86" s="233"/>
      <c r="T86" s="233"/>
      <c r="U86" s="232" cm="1">
        <f t="array" ref="U86">SUMPRODUCT((MAR!M_Verweiszeile=$H86)*MAR!M_ProdTag*(MAR!M_Monat=$E86))</f>
        <v>0</v>
      </c>
      <c r="V86" s="232" cm="1">
        <f t="array" ref="V86">SUMPRODUCT((MAR!M_Verweiszeile=$H86)*MAR!M_ProdN1*(MAR!M_Monat=$E86))</f>
        <v>0</v>
      </c>
      <c r="W86" s="232" cm="1">
        <f t="array" ref="W86">SUMPRODUCT((MAR!M_Verweiszeile=$H86)*MAR!M_ProdN2*(MAR!M_Monat=$E86))</f>
        <v>0</v>
      </c>
      <c r="X86" s="232" cm="1">
        <f t="array" ref="X86">SUMPRODUCT((MAR!M_Verweiszeile=$H86)*MAR!M_Reise*(MAR!M_Monat=$E86))</f>
        <v>0</v>
      </c>
      <c r="Y86" s="232" cm="1">
        <f t="array" ref="Y86">SUMPRODUCT((MAR!M_Verweiszeile=$H86)*MAR!M_Reiseabzug*(MAR!M_Monat=$E86))</f>
        <v>0</v>
      </c>
      <c r="Z86" s="232">
        <f t="shared" si="29"/>
        <v>0</v>
      </c>
      <c r="AA86" s="232">
        <f t="shared" si="19"/>
        <v>0</v>
      </c>
      <c r="AB86" s="232">
        <f t="shared" si="20"/>
        <v>0</v>
      </c>
      <c r="AC86" s="232">
        <f t="shared" si="30"/>
        <v>0</v>
      </c>
      <c r="AD86" s="232">
        <f t="shared" si="31"/>
        <v>0</v>
      </c>
      <c r="AE86" s="232">
        <f t="shared" si="32"/>
        <v>0</v>
      </c>
    </row>
    <row r="87" spans="3:31" x14ac:dyDescent="0.2">
      <c r="C87" s="128">
        <v>78</v>
      </c>
      <c r="D87" s="186">
        <f t="shared" si="33"/>
        <v>46100</v>
      </c>
      <c r="E87" s="128">
        <f t="shared" si="21"/>
        <v>3</v>
      </c>
      <c r="F87" s="187">
        <f t="shared" si="22"/>
        <v>46100</v>
      </c>
      <c r="G87" s="128">
        <f t="shared" si="23"/>
        <v>12</v>
      </c>
      <c r="H87" s="128">
        <f t="shared" si="24"/>
        <v>19</v>
      </c>
      <c r="I87" s="128">
        <f t="shared" si="25"/>
        <v>4</v>
      </c>
      <c r="J87" s="188">
        <f t="shared" si="26"/>
        <v>46100</v>
      </c>
      <c r="K87" s="128" t="str" cm="1">
        <f t="array" ref="K87">IF(AND(I87&lt;7,INDEX(B_tblFTMatrix,$E87,$H87)="x"),"ft","")</f>
        <v/>
      </c>
      <c r="L87" s="128"/>
      <c r="M87" s="128"/>
      <c r="N87" s="128">
        <f t="shared" si="17"/>
        <v>1</v>
      </c>
      <c r="O87" s="128">
        <f t="shared" si="27"/>
        <v>1</v>
      </c>
      <c r="P87" s="227">
        <f t="shared" si="18"/>
        <v>8</v>
      </c>
      <c r="Q87" s="229" cm="1">
        <f t="array" ref="Q87">SUMPRODUCT((H_tblBGTage=I87)*(H_tblBGMnt=E87)*H_tblBG%)</f>
        <v>1</v>
      </c>
      <c r="R87" s="227">
        <f t="shared" si="28"/>
        <v>8</v>
      </c>
      <c r="S87" s="233"/>
      <c r="T87" s="233"/>
      <c r="U87" s="232" cm="1">
        <f t="array" ref="U87">SUMPRODUCT((MAR!M_Verweiszeile=$H87)*MAR!M_ProdTag*(MAR!M_Monat=$E87))</f>
        <v>0</v>
      </c>
      <c r="V87" s="232" cm="1">
        <f t="array" ref="V87">SUMPRODUCT((MAR!M_Verweiszeile=$H87)*MAR!M_ProdN1*(MAR!M_Monat=$E87))</f>
        <v>0</v>
      </c>
      <c r="W87" s="232" cm="1">
        <f t="array" ref="W87">SUMPRODUCT((MAR!M_Verweiszeile=$H87)*MAR!M_ProdN2*(MAR!M_Monat=$E87))</f>
        <v>0</v>
      </c>
      <c r="X87" s="232" cm="1">
        <f t="array" ref="X87">SUMPRODUCT((MAR!M_Verweiszeile=$H87)*MAR!M_Reise*(MAR!M_Monat=$E87))</f>
        <v>0</v>
      </c>
      <c r="Y87" s="232" cm="1">
        <f t="array" ref="Y87">SUMPRODUCT((MAR!M_Verweiszeile=$H87)*MAR!M_Reiseabzug*(MAR!M_Monat=$E87))</f>
        <v>0</v>
      </c>
      <c r="Z87" s="232">
        <f t="shared" si="29"/>
        <v>0</v>
      </c>
      <c r="AA87" s="232">
        <f t="shared" si="19"/>
        <v>0</v>
      </c>
      <c r="AB87" s="232">
        <f t="shared" si="20"/>
        <v>0</v>
      </c>
      <c r="AC87" s="232">
        <f t="shared" si="30"/>
        <v>0</v>
      </c>
      <c r="AD87" s="232">
        <f t="shared" si="31"/>
        <v>0</v>
      </c>
      <c r="AE87" s="232">
        <f t="shared" si="32"/>
        <v>0</v>
      </c>
    </row>
    <row r="88" spans="3:31" x14ac:dyDescent="0.2">
      <c r="C88" s="128">
        <v>79</v>
      </c>
      <c r="D88" s="186">
        <f t="shared" si="33"/>
        <v>46101</v>
      </c>
      <c r="E88" s="128">
        <f t="shared" si="21"/>
        <v>3</v>
      </c>
      <c r="F88" s="187">
        <f t="shared" si="22"/>
        <v>46101</v>
      </c>
      <c r="G88" s="128">
        <f t="shared" si="23"/>
        <v>12</v>
      </c>
      <c r="H88" s="128">
        <f t="shared" si="24"/>
        <v>20</v>
      </c>
      <c r="I88" s="128">
        <f t="shared" si="25"/>
        <v>5</v>
      </c>
      <c r="J88" s="188">
        <f t="shared" si="26"/>
        <v>46101</v>
      </c>
      <c r="K88" s="128" t="str" cm="1">
        <f t="array" ref="K88">IF(AND(I88&lt;7,INDEX(B_tblFTMatrix,$E88,$H88)="x"),"ft","")</f>
        <v/>
      </c>
      <c r="L88" s="128"/>
      <c r="M88" s="128"/>
      <c r="N88" s="128">
        <f t="shared" si="17"/>
        <v>1</v>
      </c>
      <c r="O88" s="128">
        <f t="shared" si="27"/>
        <v>1</v>
      </c>
      <c r="P88" s="227">
        <f t="shared" si="18"/>
        <v>8</v>
      </c>
      <c r="Q88" s="229" cm="1">
        <f t="array" ref="Q88">SUMPRODUCT((H_tblBGTage=I88)*(H_tblBGMnt=E88)*H_tblBG%)</f>
        <v>1</v>
      </c>
      <c r="R88" s="227">
        <f t="shared" si="28"/>
        <v>8</v>
      </c>
      <c r="S88" s="233"/>
      <c r="T88" s="233"/>
      <c r="U88" s="232" cm="1">
        <f t="array" ref="U88">SUMPRODUCT((MAR!M_Verweiszeile=$H88)*MAR!M_ProdTag*(MAR!M_Monat=$E88))</f>
        <v>0</v>
      </c>
      <c r="V88" s="232" cm="1">
        <f t="array" ref="V88">SUMPRODUCT((MAR!M_Verweiszeile=$H88)*MAR!M_ProdN1*(MAR!M_Monat=$E88))</f>
        <v>0</v>
      </c>
      <c r="W88" s="232" cm="1">
        <f t="array" ref="W88">SUMPRODUCT((MAR!M_Verweiszeile=$H88)*MAR!M_ProdN2*(MAR!M_Monat=$E88))</f>
        <v>0</v>
      </c>
      <c r="X88" s="232" cm="1">
        <f t="array" ref="X88">SUMPRODUCT((MAR!M_Verweiszeile=$H88)*MAR!M_Reise*(MAR!M_Monat=$E88))</f>
        <v>0</v>
      </c>
      <c r="Y88" s="232" cm="1">
        <f t="array" ref="Y88">SUMPRODUCT((MAR!M_Verweiszeile=$H88)*MAR!M_Reiseabzug*(MAR!M_Monat=$E88))</f>
        <v>0</v>
      </c>
      <c r="Z88" s="232">
        <f t="shared" si="29"/>
        <v>0</v>
      </c>
      <c r="AA88" s="232">
        <f t="shared" si="19"/>
        <v>0</v>
      </c>
      <c r="AB88" s="232">
        <f t="shared" si="20"/>
        <v>0</v>
      </c>
      <c r="AC88" s="232">
        <f t="shared" si="30"/>
        <v>0</v>
      </c>
      <c r="AD88" s="232">
        <f t="shared" si="31"/>
        <v>0</v>
      </c>
      <c r="AE88" s="232">
        <f t="shared" si="32"/>
        <v>0</v>
      </c>
    </row>
    <row r="89" spans="3:31" x14ac:dyDescent="0.2">
      <c r="C89" s="128">
        <v>80</v>
      </c>
      <c r="D89" s="186">
        <f t="shared" si="33"/>
        <v>46102</v>
      </c>
      <c r="E89" s="128">
        <f t="shared" si="21"/>
        <v>3</v>
      </c>
      <c r="F89" s="187">
        <f t="shared" si="22"/>
        <v>46102</v>
      </c>
      <c r="G89" s="128">
        <f t="shared" si="23"/>
        <v>12</v>
      </c>
      <c r="H89" s="128">
        <f t="shared" si="24"/>
        <v>21</v>
      </c>
      <c r="I89" s="128">
        <f t="shared" si="25"/>
        <v>6</v>
      </c>
      <c r="J89" s="188">
        <f t="shared" si="26"/>
        <v>46102</v>
      </c>
      <c r="K89" s="128" t="str" cm="1">
        <f t="array" ref="K89">IF(AND(I89&lt;7,INDEX(B_tblFTMatrix,$E89,$H89)="x"),"ft","")</f>
        <v/>
      </c>
      <c r="L89" s="128"/>
      <c r="M89" s="128"/>
      <c r="N89" s="128">
        <f t="shared" si="17"/>
        <v>0</v>
      </c>
      <c r="O89" s="128">
        <f t="shared" si="27"/>
        <v>0</v>
      </c>
      <c r="P89" s="227">
        <f t="shared" si="18"/>
        <v>0</v>
      </c>
      <c r="Q89" s="229" cm="1">
        <f t="array" ref="Q89">SUMPRODUCT((H_tblBGTage=I89)*(H_tblBGMnt=E89)*H_tblBG%)</f>
        <v>0</v>
      </c>
      <c r="R89" s="227">
        <f t="shared" si="28"/>
        <v>0</v>
      </c>
      <c r="S89" s="233"/>
      <c r="T89" s="233"/>
      <c r="U89" s="232" cm="1">
        <f t="array" ref="U89">SUMPRODUCT((MAR!M_Verweiszeile=$H89)*MAR!M_ProdTag*(MAR!M_Monat=$E89))</f>
        <v>0</v>
      </c>
      <c r="V89" s="232" cm="1">
        <f t="array" ref="V89">SUMPRODUCT((MAR!M_Verweiszeile=$H89)*MAR!M_ProdN1*(MAR!M_Monat=$E89))</f>
        <v>0</v>
      </c>
      <c r="W89" s="232" cm="1">
        <f t="array" ref="W89">SUMPRODUCT((MAR!M_Verweiszeile=$H89)*MAR!M_ProdN2*(MAR!M_Monat=$E89))</f>
        <v>0</v>
      </c>
      <c r="X89" s="232" cm="1">
        <f t="array" ref="X89">SUMPRODUCT((MAR!M_Verweiszeile=$H89)*MAR!M_Reise*(MAR!M_Monat=$E89))</f>
        <v>0</v>
      </c>
      <c r="Y89" s="232" cm="1">
        <f t="array" ref="Y89">SUMPRODUCT((MAR!M_Verweiszeile=$H89)*MAR!M_Reiseabzug*(MAR!M_Monat=$E89))</f>
        <v>0</v>
      </c>
      <c r="Z89" s="232">
        <f t="shared" si="29"/>
        <v>0</v>
      </c>
      <c r="AA89" s="232">
        <f t="shared" si="19"/>
        <v>0</v>
      </c>
      <c r="AB89" s="232">
        <f t="shared" si="20"/>
        <v>0</v>
      </c>
      <c r="AC89" s="232">
        <f t="shared" si="30"/>
        <v>0</v>
      </c>
      <c r="AD89" s="232">
        <f t="shared" si="31"/>
        <v>0</v>
      </c>
      <c r="AE89" s="232">
        <f t="shared" si="32"/>
        <v>0</v>
      </c>
    </row>
    <row r="90" spans="3:31" x14ac:dyDescent="0.2">
      <c r="C90" s="128">
        <v>81</v>
      </c>
      <c r="D90" s="186">
        <f t="shared" si="33"/>
        <v>46103</v>
      </c>
      <c r="E90" s="128">
        <f t="shared" si="21"/>
        <v>3</v>
      </c>
      <c r="F90" s="187">
        <f t="shared" si="22"/>
        <v>46103</v>
      </c>
      <c r="G90" s="128">
        <f t="shared" si="23"/>
        <v>12</v>
      </c>
      <c r="H90" s="128">
        <f t="shared" si="24"/>
        <v>22</v>
      </c>
      <c r="I90" s="128">
        <f t="shared" si="25"/>
        <v>7</v>
      </c>
      <c r="J90" s="188">
        <f t="shared" si="26"/>
        <v>46103</v>
      </c>
      <c r="K90" s="128" t="str" cm="1">
        <f t="array" ref="K90">IF(AND(I90&lt;7,INDEX(B_tblFTMatrix,$E90,$H90)="x"),"ft","")</f>
        <v/>
      </c>
      <c r="L90" s="128"/>
      <c r="M90" s="128"/>
      <c r="N90" s="128">
        <f t="shared" si="17"/>
        <v>0</v>
      </c>
      <c r="O90" s="128">
        <f t="shared" si="27"/>
        <v>0</v>
      </c>
      <c r="P90" s="227">
        <f t="shared" si="18"/>
        <v>0</v>
      </c>
      <c r="Q90" s="229" cm="1">
        <f t="array" ref="Q90">SUMPRODUCT((H_tblBGTage=I90)*(H_tblBGMnt=E90)*H_tblBG%)</f>
        <v>0</v>
      </c>
      <c r="R90" s="227">
        <f t="shared" si="28"/>
        <v>0</v>
      </c>
      <c r="S90" s="233"/>
      <c r="T90" s="233"/>
      <c r="U90" s="232" cm="1">
        <f t="array" ref="U90">SUMPRODUCT((MAR!M_Verweiszeile=$H90)*MAR!M_ProdTag*(MAR!M_Monat=$E90))</f>
        <v>0</v>
      </c>
      <c r="V90" s="232" cm="1">
        <f t="array" ref="V90">SUMPRODUCT((MAR!M_Verweiszeile=$H90)*MAR!M_ProdN1*(MAR!M_Monat=$E90))</f>
        <v>0</v>
      </c>
      <c r="W90" s="232" cm="1">
        <f t="array" ref="W90">SUMPRODUCT((MAR!M_Verweiszeile=$H90)*MAR!M_ProdN2*(MAR!M_Monat=$E90))</f>
        <v>0</v>
      </c>
      <c r="X90" s="232" cm="1">
        <f t="array" ref="X90">SUMPRODUCT((MAR!M_Verweiszeile=$H90)*MAR!M_Reise*(MAR!M_Monat=$E90))</f>
        <v>0</v>
      </c>
      <c r="Y90" s="232" cm="1">
        <f t="array" ref="Y90">SUMPRODUCT((MAR!M_Verweiszeile=$H90)*MAR!M_Reiseabzug*(MAR!M_Monat=$E90))</f>
        <v>0</v>
      </c>
      <c r="Z90" s="232">
        <f t="shared" si="29"/>
        <v>0</v>
      </c>
      <c r="AA90" s="232">
        <f t="shared" si="19"/>
        <v>0</v>
      </c>
      <c r="AB90" s="232">
        <f t="shared" si="20"/>
        <v>0</v>
      </c>
      <c r="AC90" s="232">
        <f t="shared" si="30"/>
        <v>0</v>
      </c>
      <c r="AD90" s="232">
        <f t="shared" si="31"/>
        <v>0</v>
      </c>
      <c r="AE90" s="232">
        <f t="shared" si="32"/>
        <v>0</v>
      </c>
    </row>
    <row r="91" spans="3:31" x14ac:dyDescent="0.2">
      <c r="C91" s="128">
        <v>82</v>
      </c>
      <c r="D91" s="186">
        <f t="shared" si="33"/>
        <v>46104</v>
      </c>
      <c r="E91" s="128">
        <f t="shared" si="21"/>
        <v>3</v>
      </c>
      <c r="F91" s="187">
        <f t="shared" si="22"/>
        <v>46104</v>
      </c>
      <c r="G91" s="128">
        <f t="shared" si="23"/>
        <v>13</v>
      </c>
      <c r="H91" s="128">
        <f t="shared" si="24"/>
        <v>23</v>
      </c>
      <c r="I91" s="128">
        <f t="shared" si="25"/>
        <v>1</v>
      </c>
      <c r="J91" s="188">
        <f t="shared" si="26"/>
        <v>46104</v>
      </c>
      <c r="K91" s="128" t="str" cm="1">
        <f t="array" ref="K91">IF(AND(I91&lt;7,INDEX(B_tblFTMatrix,$E91,$H91)="x"),"ft","")</f>
        <v/>
      </c>
      <c r="L91" s="128"/>
      <c r="M91" s="128"/>
      <c r="N91" s="128">
        <f t="shared" si="17"/>
        <v>1</v>
      </c>
      <c r="O91" s="128">
        <f t="shared" si="27"/>
        <v>1</v>
      </c>
      <c r="P91" s="227">
        <f t="shared" si="18"/>
        <v>8</v>
      </c>
      <c r="Q91" s="229" cm="1">
        <f t="array" ref="Q91">SUMPRODUCT((H_tblBGTage=I91)*(H_tblBGMnt=E91)*H_tblBG%)</f>
        <v>1</v>
      </c>
      <c r="R91" s="227">
        <f t="shared" si="28"/>
        <v>8</v>
      </c>
      <c r="S91" s="233"/>
      <c r="T91" s="233"/>
      <c r="U91" s="232" cm="1">
        <f t="array" ref="U91">SUMPRODUCT((MAR!M_Verweiszeile=$H91)*MAR!M_ProdTag*(MAR!M_Monat=$E91))</f>
        <v>0</v>
      </c>
      <c r="V91" s="232" cm="1">
        <f t="array" ref="V91">SUMPRODUCT((MAR!M_Verweiszeile=$H91)*MAR!M_ProdN1*(MAR!M_Monat=$E91))</f>
        <v>0</v>
      </c>
      <c r="W91" s="232" cm="1">
        <f t="array" ref="W91">SUMPRODUCT((MAR!M_Verweiszeile=$H91)*MAR!M_ProdN2*(MAR!M_Monat=$E91))</f>
        <v>0</v>
      </c>
      <c r="X91" s="232" cm="1">
        <f t="array" ref="X91">SUMPRODUCT((MAR!M_Verweiszeile=$H91)*MAR!M_Reise*(MAR!M_Monat=$E91))</f>
        <v>0</v>
      </c>
      <c r="Y91" s="232" cm="1">
        <f t="array" ref="Y91">SUMPRODUCT((MAR!M_Verweiszeile=$H91)*MAR!M_Reiseabzug*(MAR!M_Monat=$E91))</f>
        <v>0</v>
      </c>
      <c r="Z91" s="232">
        <f t="shared" si="29"/>
        <v>0</v>
      </c>
      <c r="AA91" s="232">
        <f t="shared" si="19"/>
        <v>0</v>
      </c>
      <c r="AB91" s="232">
        <f t="shared" si="20"/>
        <v>0</v>
      </c>
      <c r="AC91" s="232">
        <f t="shared" si="30"/>
        <v>0</v>
      </c>
      <c r="AD91" s="232">
        <f t="shared" si="31"/>
        <v>0</v>
      </c>
      <c r="AE91" s="232">
        <f t="shared" si="32"/>
        <v>0</v>
      </c>
    </row>
    <row r="92" spans="3:31" x14ac:dyDescent="0.2">
      <c r="C92" s="128">
        <v>83</v>
      </c>
      <c r="D92" s="186">
        <f t="shared" si="33"/>
        <v>46105</v>
      </c>
      <c r="E92" s="128">
        <f t="shared" si="21"/>
        <v>3</v>
      </c>
      <c r="F92" s="187">
        <f t="shared" si="22"/>
        <v>46105</v>
      </c>
      <c r="G92" s="128">
        <f t="shared" si="23"/>
        <v>13</v>
      </c>
      <c r="H92" s="128">
        <f t="shared" si="24"/>
        <v>24</v>
      </c>
      <c r="I92" s="128">
        <f t="shared" si="25"/>
        <v>2</v>
      </c>
      <c r="J92" s="188">
        <f t="shared" si="26"/>
        <v>46105</v>
      </c>
      <c r="K92" s="128" t="str" cm="1">
        <f t="array" ref="K92">IF(AND(I92&lt;7,INDEX(B_tblFTMatrix,$E92,$H92)="x"),"ft","")</f>
        <v/>
      </c>
      <c r="L92" s="128"/>
      <c r="M92" s="128"/>
      <c r="N92" s="128">
        <f t="shared" si="17"/>
        <v>1</v>
      </c>
      <c r="O92" s="128">
        <f t="shared" si="27"/>
        <v>1</v>
      </c>
      <c r="P92" s="227">
        <f t="shared" si="18"/>
        <v>8</v>
      </c>
      <c r="Q92" s="229" cm="1">
        <f t="array" ref="Q92">SUMPRODUCT((H_tblBGTage=I92)*(H_tblBGMnt=E92)*H_tblBG%)</f>
        <v>1</v>
      </c>
      <c r="R92" s="227">
        <f t="shared" si="28"/>
        <v>8</v>
      </c>
      <c r="S92" s="233"/>
      <c r="T92" s="233"/>
      <c r="U92" s="232" cm="1">
        <f t="array" ref="U92">SUMPRODUCT((MAR!M_Verweiszeile=$H92)*MAR!M_ProdTag*(MAR!M_Monat=$E92))</f>
        <v>0</v>
      </c>
      <c r="V92" s="232" cm="1">
        <f t="array" ref="V92">SUMPRODUCT((MAR!M_Verweiszeile=$H92)*MAR!M_ProdN1*(MAR!M_Monat=$E92))</f>
        <v>0</v>
      </c>
      <c r="W92" s="232" cm="1">
        <f t="array" ref="W92">SUMPRODUCT((MAR!M_Verweiszeile=$H92)*MAR!M_ProdN2*(MAR!M_Monat=$E92))</f>
        <v>0</v>
      </c>
      <c r="X92" s="232" cm="1">
        <f t="array" ref="X92">SUMPRODUCT((MAR!M_Verweiszeile=$H92)*MAR!M_Reise*(MAR!M_Monat=$E92))</f>
        <v>0</v>
      </c>
      <c r="Y92" s="232" cm="1">
        <f t="array" ref="Y92">SUMPRODUCT((MAR!M_Verweiszeile=$H92)*MAR!M_Reiseabzug*(MAR!M_Monat=$E92))</f>
        <v>0</v>
      </c>
      <c r="Z92" s="232">
        <f t="shared" si="29"/>
        <v>0</v>
      </c>
      <c r="AA92" s="232">
        <f t="shared" si="19"/>
        <v>0</v>
      </c>
      <c r="AB92" s="232">
        <f t="shared" si="20"/>
        <v>0</v>
      </c>
      <c r="AC92" s="232">
        <f t="shared" si="30"/>
        <v>0</v>
      </c>
      <c r="AD92" s="232">
        <f t="shared" si="31"/>
        <v>0</v>
      </c>
      <c r="AE92" s="232">
        <f t="shared" si="32"/>
        <v>0</v>
      </c>
    </row>
    <row r="93" spans="3:31" x14ac:dyDescent="0.2">
      <c r="C93" s="128">
        <v>84</v>
      </c>
      <c r="D93" s="186">
        <f t="shared" si="33"/>
        <v>46106</v>
      </c>
      <c r="E93" s="128">
        <f t="shared" si="21"/>
        <v>3</v>
      </c>
      <c r="F93" s="187">
        <f t="shared" si="22"/>
        <v>46106</v>
      </c>
      <c r="G93" s="128">
        <f t="shared" si="23"/>
        <v>13</v>
      </c>
      <c r="H93" s="128">
        <f t="shared" si="24"/>
        <v>25</v>
      </c>
      <c r="I93" s="128">
        <f t="shared" si="25"/>
        <v>3</v>
      </c>
      <c r="J93" s="188">
        <f t="shared" si="26"/>
        <v>46106</v>
      </c>
      <c r="K93" s="128" t="str" cm="1">
        <f t="array" ref="K93">IF(AND(I93&lt;7,INDEX(B_tblFTMatrix,$E93,$H93)="x"),"ft","")</f>
        <v/>
      </c>
      <c r="L93" s="128"/>
      <c r="M93" s="128"/>
      <c r="N93" s="128">
        <f t="shared" si="17"/>
        <v>1</v>
      </c>
      <c r="O93" s="128">
        <f t="shared" si="27"/>
        <v>1</v>
      </c>
      <c r="P93" s="227">
        <f t="shared" si="18"/>
        <v>8</v>
      </c>
      <c r="Q93" s="229" cm="1">
        <f t="array" ref="Q93">SUMPRODUCT((H_tblBGTage=I93)*(H_tblBGMnt=E93)*H_tblBG%)</f>
        <v>1</v>
      </c>
      <c r="R93" s="227">
        <f t="shared" si="28"/>
        <v>8</v>
      </c>
      <c r="S93" s="233"/>
      <c r="T93" s="233"/>
      <c r="U93" s="232" cm="1">
        <f t="array" ref="U93">SUMPRODUCT((MAR!M_Verweiszeile=$H93)*MAR!M_ProdTag*(MAR!M_Monat=$E93))</f>
        <v>0</v>
      </c>
      <c r="V93" s="232" cm="1">
        <f t="array" ref="V93">SUMPRODUCT((MAR!M_Verweiszeile=$H93)*MAR!M_ProdN1*(MAR!M_Monat=$E93))</f>
        <v>0</v>
      </c>
      <c r="W93" s="232" cm="1">
        <f t="array" ref="W93">SUMPRODUCT((MAR!M_Verweiszeile=$H93)*MAR!M_ProdN2*(MAR!M_Monat=$E93))</f>
        <v>0</v>
      </c>
      <c r="X93" s="232" cm="1">
        <f t="array" ref="X93">SUMPRODUCT((MAR!M_Verweiszeile=$H93)*MAR!M_Reise*(MAR!M_Monat=$E93))</f>
        <v>0</v>
      </c>
      <c r="Y93" s="232" cm="1">
        <f t="array" ref="Y93">SUMPRODUCT((MAR!M_Verweiszeile=$H93)*MAR!M_Reiseabzug*(MAR!M_Monat=$E93))</f>
        <v>0</v>
      </c>
      <c r="Z93" s="232">
        <f t="shared" si="29"/>
        <v>0</v>
      </c>
      <c r="AA93" s="232">
        <f t="shared" si="19"/>
        <v>0</v>
      </c>
      <c r="AB93" s="232">
        <f t="shared" si="20"/>
        <v>0</v>
      </c>
      <c r="AC93" s="232">
        <f t="shared" si="30"/>
        <v>0</v>
      </c>
      <c r="AD93" s="232">
        <f t="shared" si="31"/>
        <v>0</v>
      </c>
      <c r="AE93" s="232">
        <f t="shared" si="32"/>
        <v>0</v>
      </c>
    </row>
    <row r="94" spans="3:31" x14ac:dyDescent="0.2">
      <c r="C94" s="128">
        <v>85</v>
      </c>
      <c r="D94" s="186">
        <f t="shared" si="33"/>
        <v>46107</v>
      </c>
      <c r="E94" s="128">
        <f t="shared" si="21"/>
        <v>3</v>
      </c>
      <c r="F94" s="187">
        <f t="shared" si="22"/>
        <v>46107</v>
      </c>
      <c r="G94" s="128">
        <f t="shared" si="23"/>
        <v>13</v>
      </c>
      <c r="H94" s="128">
        <f t="shared" si="24"/>
        <v>26</v>
      </c>
      <c r="I94" s="128">
        <f t="shared" si="25"/>
        <v>4</v>
      </c>
      <c r="J94" s="188">
        <f t="shared" si="26"/>
        <v>46107</v>
      </c>
      <c r="K94" s="128" t="str" cm="1">
        <f t="array" ref="K94">IF(AND(I94&lt;7,INDEX(B_tblFTMatrix,$E94,$H94)="x"),"ft","")</f>
        <v/>
      </c>
      <c r="L94" s="128"/>
      <c r="M94" s="128"/>
      <c r="N94" s="128">
        <f t="shared" si="17"/>
        <v>1</v>
      </c>
      <c r="O94" s="128">
        <f t="shared" si="27"/>
        <v>1</v>
      </c>
      <c r="P94" s="227">
        <f t="shared" si="18"/>
        <v>8</v>
      </c>
      <c r="Q94" s="229" cm="1">
        <f t="array" ref="Q94">SUMPRODUCT((H_tblBGTage=I94)*(H_tblBGMnt=E94)*H_tblBG%)</f>
        <v>1</v>
      </c>
      <c r="R94" s="227">
        <f t="shared" si="28"/>
        <v>8</v>
      </c>
      <c r="S94" s="233"/>
      <c r="T94" s="233"/>
      <c r="U94" s="232" cm="1">
        <f t="array" ref="U94">SUMPRODUCT((MAR!M_Verweiszeile=$H94)*MAR!M_ProdTag*(MAR!M_Monat=$E94))</f>
        <v>0</v>
      </c>
      <c r="V94" s="232" cm="1">
        <f t="array" ref="V94">SUMPRODUCT((MAR!M_Verweiszeile=$H94)*MAR!M_ProdN1*(MAR!M_Monat=$E94))</f>
        <v>0</v>
      </c>
      <c r="W94" s="232" cm="1">
        <f t="array" ref="W94">SUMPRODUCT((MAR!M_Verweiszeile=$H94)*MAR!M_ProdN2*(MAR!M_Monat=$E94))</f>
        <v>0</v>
      </c>
      <c r="X94" s="232" cm="1">
        <f t="array" ref="X94">SUMPRODUCT((MAR!M_Verweiszeile=$H94)*MAR!M_Reise*(MAR!M_Monat=$E94))</f>
        <v>0</v>
      </c>
      <c r="Y94" s="232" cm="1">
        <f t="array" ref="Y94">SUMPRODUCT((MAR!M_Verweiszeile=$H94)*MAR!M_Reiseabzug*(MAR!M_Monat=$E94))</f>
        <v>0</v>
      </c>
      <c r="Z94" s="232">
        <f t="shared" si="29"/>
        <v>0</v>
      </c>
      <c r="AA94" s="232">
        <f t="shared" si="19"/>
        <v>0</v>
      </c>
      <c r="AB94" s="232">
        <f t="shared" si="20"/>
        <v>0</v>
      </c>
      <c r="AC94" s="232">
        <f t="shared" si="30"/>
        <v>0</v>
      </c>
      <c r="AD94" s="232">
        <f t="shared" si="31"/>
        <v>0</v>
      </c>
      <c r="AE94" s="232">
        <f t="shared" si="32"/>
        <v>0</v>
      </c>
    </row>
    <row r="95" spans="3:31" x14ac:dyDescent="0.2">
      <c r="C95" s="128">
        <v>86</v>
      </c>
      <c r="D95" s="186">
        <f t="shared" si="33"/>
        <v>46108</v>
      </c>
      <c r="E95" s="128">
        <f t="shared" si="21"/>
        <v>3</v>
      </c>
      <c r="F95" s="187">
        <f t="shared" si="22"/>
        <v>46108</v>
      </c>
      <c r="G95" s="128">
        <f t="shared" si="23"/>
        <v>13</v>
      </c>
      <c r="H95" s="128">
        <f t="shared" si="24"/>
        <v>27</v>
      </c>
      <c r="I95" s="128">
        <f t="shared" si="25"/>
        <v>5</v>
      </c>
      <c r="J95" s="188">
        <f t="shared" si="26"/>
        <v>46108</v>
      </c>
      <c r="K95" s="128" t="str" cm="1">
        <f t="array" ref="K95">IF(AND(I95&lt;7,INDEX(B_tblFTMatrix,$E95,$H95)="x"),"ft","")</f>
        <v/>
      </c>
      <c r="L95" s="128"/>
      <c r="M95" s="128"/>
      <c r="N95" s="128">
        <f t="shared" si="17"/>
        <v>1</v>
      </c>
      <c r="O95" s="128">
        <f t="shared" si="27"/>
        <v>1</v>
      </c>
      <c r="P95" s="227">
        <f t="shared" si="18"/>
        <v>8</v>
      </c>
      <c r="Q95" s="229" cm="1">
        <f t="array" ref="Q95">SUMPRODUCT((H_tblBGTage=I95)*(H_tblBGMnt=E95)*H_tblBG%)</f>
        <v>1</v>
      </c>
      <c r="R95" s="227">
        <f t="shared" si="28"/>
        <v>8</v>
      </c>
      <c r="S95" s="233"/>
      <c r="T95" s="233"/>
      <c r="U95" s="232" cm="1">
        <f t="array" ref="U95">SUMPRODUCT((MAR!M_Verweiszeile=$H95)*MAR!M_ProdTag*(MAR!M_Monat=$E95))</f>
        <v>0</v>
      </c>
      <c r="V95" s="232" cm="1">
        <f t="array" ref="V95">SUMPRODUCT((MAR!M_Verweiszeile=$H95)*MAR!M_ProdN1*(MAR!M_Monat=$E95))</f>
        <v>0</v>
      </c>
      <c r="W95" s="232" cm="1">
        <f t="array" ref="W95">SUMPRODUCT((MAR!M_Verweiszeile=$H95)*MAR!M_ProdN2*(MAR!M_Monat=$E95))</f>
        <v>0</v>
      </c>
      <c r="X95" s="232" cm="1">
        <f t="array" ref="X95">SUMPRODUCT((MAR!M_Verweiszeile=$H95)*MAR!M_Reise*(MAR!M_Monat=$E95))</f>
        <v>0</v>
      </c>
      <c r="Y95" s="232" cm="1">
        <f t="array" ref="Y95">SUMPRODUCT((MAR!M_Verweiszeile=$H95)*MAR!M_Reiseabzug*(MAR!M_Monat=$E95))</f>
        <v>0</v>
      </c>
      <c r="Z95" s="232">
        <f t="shared" si="29"/>
        <v>0</v>
      </c>
      <c r="AA95" s="232">
        <f t="shared" si="19"/>
        <v>0</v>
      </c>
      <c r="AB95" s="232">
        <f t="shared" si="20"/>
        <v>0</v>
      </c>
      <c r="AC95" s="232">
        <f t="shared" si="30"/>
        <v>0</v>
      </c>
      <c r="AD95" s="232">
        <f t="shared" si="31"/>
        <v>0</v>
      </c>
      <c r="AE95" s="232">
        <f t="shared" si="32"/>
        <v>0</v>
      </c>
    </row>
    <row r="96" spans="3:31" x14ac:dyDescent="0.2">
      <c r="C96" s="128">
        <v>87</v>
      </c>
      <c r="D96" s="186">
        <f t="shared" si="33"/>
        <v>46109</v>
      </c>
      <c r="E96" s="128">
        <f t="shared" si="21"/>
        <v>3</v>
      </c>
      <c r="F96" s="187">
        <f t="shared" si="22"/>
        <v>46109</v>
      </c>
      <c r="G96" s="128">
        <f t="shared" si="23"/>
        <v>13</v>
      </c>
      <c r="H96" s="128">
        <f t="shared" si="24"/>
        <v>28</v>
      </c>
      <c r="I96" s="128">
        <f t="shared" si="25"/>
        <v>6</v>
      </c>
      <c r="J96" s="188">
        <f t="shared" si="26"/>
        <v>46109</v>
      </c>
      <c r="K96" s="128" t="str" cm="1">
        <f t="array" ref="K96">IF(AND(I96&lt;7,INDEX(B_tblFTMatrix,$E96,$H96)="x"),"ft","")</f>
        <v/>
      </c>
      <c r="L96" s="128"/>
      <c r="M96" s="128"/>
      <c r="N96" s="128">
        <f t="shared" si="17"/>
        <v>0</v>
      </c>
      <c r="O96" s="128">
        <f t="shared" si="27"/>
        <v>0</v>
      </c>
      <c r="P96" s="227">
        <f t="shared" si="18"/>
        <v>0</v>
      </c>
      <c r="Q96" s="229" cm="1">
        <f t="array" ref="Q96">SUMPRODUCT((H_tblBGTage=I96)*(H_tblBGMnt=E96)*H_tblBG%)</f>
        <v>0</v>
      </c>
      <c r="R96" s="227">
        <f t="shared" si="28"/>
        <v>0</v>
      </c>
      <c r="S96" s="233"/>
      <c r="T96" s="233"/>
      <c r="U96" s="232" cm="1">
        <f t="array" ref="U96">SUMPRODUCT((MAR!M_Verweiszeile=$H96)*MAR!M_ProdTag*(MAR!M_Monat=$E96))</f>
        <v>0</v>
      </c>
      <c r="V96" s="232" cm="1">
        <f t="array" ref="V96">SUMPRODUCT((MAR!M_Verweiszeile=$H96)*MAR!M_ProdN1*(MAR!M_Monat=$E96))</f>
        <v>0</v>
      </c>
      <c r="W96" s="232" cm="1">
        <f t="array" ref="W96">SUMPRODUCT((MAR!M_Verweiszeile=$H96)*MAR!M_ProdN2*(MAR!M_Monat=$E96))</f>
        <v>0</v>
      </c>
      <c r="X96" s="232" cm="1">
        <f t="array" ref="X96">SUMPRODUCT((MAR!M_Verweiszeile=$H96)*MAR!M_Reise*(MAR!M_Monat=$E96))</f>
        <v>0</v>
      </c>
      <c r="Y96" s="232" cm="1">
        <f t="array" ref="Y96">SUMPRODUCT((MAR!M_Verweiszeile=$H96)*MAR!M_Reiseabzug*(MAR!M_Monat=$E96))</f>
        <v>0</v>
      </c>
      <c r="Z96" s="232">
        <f t="shared" si="29"/>
        <v>0</v>
      </c>
      <c r="AA96" s="232">
        <f t="shared" si="19"/>
        <v>0</v>
      </c>
      <c r="AB96" s="232">
        <f t="shared" si="20"/>
        <v>0</v>
      </c>
      <c r="AC96" s="232">
        <f t="shared" si="30"/>
        <v>0</v>
      </c>
      <c r="AD96" s="232">
        <f t="shared" si="31"/>
        <v>0</v>
      </c>
      <c r="AE96" s="232">
        <f t="shared" si="32"/>
        <v>0</v>
      </c>
    </row>
    <row r="97" spans="3:31" x14ac:dyDescent="0.2">
      <c r="C97" s="128">
        <v>88</v>
      </c>
      <c r="D97" s="186">
        <f t="shared" si="33"/>
        <v>46110</v>
      </c>
      <c r="E97" s="128">
        <f t="shared" si="21"/>
        <v>3</v>
      </c>
      <c r="F97" s="187">
        <f t="shared" si="22"/>
        <v>46110</v>
      </c>
      <c r="G97" s="128">
        <f t="shared" si="23"/>
        <v>13</v>
      </c>
      <c r="H97" s="128">
        <f t="shared" si="24"/>
        <v>29</v>
      </c>
      <c r="I97" s="128">
        <f t="shared" si="25"/>
        <v>7</v>
      </c>
      <c r="J97" s="188">
        <f t="shared" si="26"/>
        <v>46110</v>
      </c>
      <c r="K97" s="128" t="str" cm="1">
        <f t="array" ref="K97">IF(AND(I97&lt;7,INDEX(B_tblFTMatrix,$E97,$H97)="x"),"ft","")</f>
        <v/>
      </c>
      <c r="L97" s="128"/>
      <c r="M97" s="128"/>
      <c r="N97" s="128">
        <f t="shared" si="17"/>
        <v>0</v>
      </c>
      <c r="O97" s="128">
        <f t="shared" si="27"/>
        <v>0</v>
      </c>
      <c r="P97" s="227">
        <f t="shared" si="18"/>
        <v>0</v>
      </c>
      <c r="Q97" s="229" cm="1">
        <f t="array" ref="Q97">SUMPRODUCT((H_tblBGTage=I97)*(H_tblBGMnt=E97)*H_tblBG%)</f>
        <v>0</v>
      </c>
      <c r="R97" s="227">
        <f t="shared" si="28"/>
        <v>0</v>
      </c>
      <c r="S97" s="233"/>
      <c r="T97" s="233"/>
      <c r="U97" s="232" cm="1">
        <f t="array" ref="U97">SUMPRODUCT((MAR!M_Verweiszeile=$H97)*MAR!M_ProdTag*(MAR!M_Monat=$E97))</f>
        <v>0</v>
      </c>
      <c r="V97" s="232" cm="1">
        <f t="array" ref="V97">SUMPRODUCT((MAR!M_Verweiszeile=$H97)*MAR!M_ProdN1*(MAR!M_Monat=$E97))</f>
        <v>0</v>
      </c>
      <c r="W97" s="232" cm="1">
        <f t="array" ref="W97">SUMPRODUCT((MAR!M_Verweiszeile=$H97)*MAR!M_ProdN2*(MAR!M_Monat=$E97))</f>
        <v>0</v>
      </c>
      <c r="X97" s="232" cm="1">
        <f t="array" ref="X97">SUMPRODUCT((MAR!M_Verweiszeile=$H97)*MAR!M_Reise*(MAR!M_Monat=$E97))</f>
        <v>0</v>
      </c>
      <c r="Y97" s="232" cm="1">
        <f t="array" ref="Y97">SUMPRODUCT((MAR!M_Verweiszeile=$H97)*MAR!M_Reiseabzug*(MAR!M_Monat=$E97))</f>
        <v>0</v>
      </c>
      <c r="Z97" s="232">
        <f t="shared" si="29"/>
        <v>0</v>
      </c>
      <c r="AA97" s="232">
        <f t="shared" si="19"/>
        <v>0</v>
      </c>
      <c r="AB97" s="232">
        <f t="shared" si="20"/>
        <v>0</v>
      </c>
      <c r="AC97" s="232">
        <f t="shared" si="30"/>
        <v>0</v>
      </c>
      <c r="AD97" s="232">
        <f t="shared" si="31"/>
        <v>0</v>
      </c>
      <c r="AE97" s="232">
        <f t="shared" si="32"/>
        <v>0</v>
      </c>
    </row>
    <row r="98" spans="3:31" x14ac:dyDescent="0.2">
      <c r="C98" s="128">
        <v>89</v>
      </c>
      <c r="D98" s="186">
        <f t="shared" si="33"/>
        <v>46111</v>
      </c>
      <c r="E98" s="128">
        <f t="shared" si="21"/>
        <v>3</v>
      </c>
      <c r="F98" s="187">
        <f t="shared" si="22"/>
        <v>46111</v>
      </c>
      <c r="G98" s="128">
        <f t="shared" si="23"/>
        <v>14</v>
      </c>
      <c r="H98" s="128">
        <f t="shared" si="24"/>
        <v>30</v>
      </c>
      <c r="I98" s="128">
        <f t="shared" si="25"/>
        <v>1</v>
      </c>
      <c r="J98" s="188">
        <f t="shared" si="26"/>
        <v>46111</v>
      </c>
      <c r="K98" s="128" t="str" cm="1">
        <f t="array" ref="K98">IF(AND(I98&lt;7,INDEX(B_tblFTMatrix,$E98,$H98)="x"),"ft","")</f>
        <v/>
      </c>
      <c r="L98" s="128"/>
      <c r="M98" s="128"/>
      <c r="N98" s="128">
        <f t="shared" si="17"/>
        <v>1</v>
      </c>
      <c r="O98" s="128">
        <f t="shared" si="27"/>
        <v>1</v>
      </c>
      <c r="P98" s="227">
        <f t="shared" si="18"/>
        <v>8</v>
      </c>
      <c r="Q98" s="229" cm="1">
        <f t="array" ref="Q98">SUMPRODUCT((H_tblBGTage=I98)*(H_tblBGMnt=E98)*H_tblBG%)</f>
        <v>1</v>
      </c>
      <c r="R98" s="227">
        <f t="shared" si="28"/>
        <v>8</v>
      </c>
      <c r="S98" s="233"/>
      <c r="T98" s="233"/>
      <c r="U98" s="232" cm="1">
        <f t="array" ref="U98">SUMPRODUCT((MAR!M_Verweiszeile=$H98)*MAR!M_ProdTag*(MAR!M_Monat=$E98))</f>
        <v>0</v>
      </c>
      <c r="V98" s="232" cm="1">
        <f t="array" ref="V98">SUMPRODUCT((MAR!M_Verweiszeile=$H98)*MAR!M_ProdN1*(MAR!M_Monat=$E98))</f>
        <v>0</v>
      </c>
      <c r="W98" s="232" cm="1">
        <f t="array" ref="W98">SUMPRODUCT((MAR!M_Verweiszeile=$H98)*MAR!M_ProdN2*(MAR!M_Monat=$E98))</f>
        <v>0</v>
      </c>
      <c r="X98" s="232" cm="1">
        <f t="array" ref="X98">SUMPRODUCT((MAR!M_Verweiszeile=$H98)*MAR!M_Reise*(MAR!M_Monat=$E98))</f>
        <v>0</v>
      </c>
      <c r="Y98" s="232" cm="1">
        <f t="array" ref="Y98">SUMPRODUCT((MAR!M_Verweiszeile=$H98)*MAR!M_Reiseabzug*(MAR!M_Monat=$E98))</f>
        <v>0</v>
      </c>
      <c r="Z98" s="232">
        <f t="shared" si="29"/>
        <v>0</v>
      </c>
      <c r="AA98" s="232">
        <f t="shared" si="19"/>
        <v>0</v>
      </c>
      <c r="AB98" s="232">
        <f t="shared" si="20"/>
        <v>0</v>
      </c>
      <c r="AC98" s="232">
        <f t="shared" si="30"/>
        <v>0</v>
      </c>
      <c r="AD98" s="232">
        <f t="shared" si="31"/>
        <v>0</v>
      </c>
      <c r="AE98" s="232">
        <f t="shared" si="32"/>
        <v>0</v>
      </c>
    </row>
    <row r="99" spans="3:31" x14ac:dyDescent="0.2">
      <c r="C99" s="128">
        <v>90</v>
      </c>
      <c r="D99" s="186">
        <f t="shared" si="33"/>
        <v>46112</v>
      </c>
      <c r="E99" s="128">
        <f t="shared" si="21"/>
        <v>3</v>
      </c>
      <c r="F99" s="187">
        <f t="shared" si="22"/>
        <v>46112</v>
      </c>
      <c r="G99" s="128">
        <f t="shared" si="23"/>
        <v>14</v>
      </c>
      <c r="H99" s="128">
        <f t="shared" si="24"/>
        <v>31</v>
      </c>
      <c r="I99" s="128">
        <f t="shared" si="25"/>
        <v>2</v>
      </c>
      <c r="J99" s="188">
        <f t="shared" si="26"/>
        <v>46112</v>
      </c>
      <c r="K99" s="128" t="str" cm="1">
        <f t="array" ref="K99">IF(AND(I99&lt;7,INDEX(B_tblFTMatrix,$E99,$H99)="x"),"ft","")</f>
        <v/>
      </c>
      <c r="L99" s="128"/>
      <c r="M99" s="128"/>
      <c r="N99" s="128">
        <f t="shared" si="17"/>
        <v>1</v>
      </c>
      <c r="O99" s="128">
        <f t="shared" si="27"/>
        <v>1</v>
      </c>
      <c r="P99" s="227">
        <f t="shared" si="18"/>
        <v>8</v>
      </c>
      <c r="Q99" s="229" cm="1">
        <f t="array" ref="Q99">SUMPRODUCT((H_tblBGTage=I99)*(H_tblBGMnt=E99)*H_tblBG%)</f>
        <v>1</v>
      </c>
      <c r="R99" s="227">
        <f t="shared" si="28"/>
        <v>8</v>
      </c>
      <c r="S99" s="233"/>
      <c r="T99" s="233"/>
      <c r="U99" s="232" cm="1">
        <f t="array" ref="U99">SUMPRODUCT((MAR!M_Verweiszeile=$H99)*MAR!M_ProdTag*(MAR!M_Monat=$E99))</f>
        <v>0</v>
      </c>
      <c r="V99" s="232" cm="1">
        <f t="array" ref="V99">SUMPRODUCT((MAR!M_Verweiszeile=$H99)*MAR!M_ProdN1*(MAR!M_Monat=$E99))</f>
        <v>0</v>
      </c>
      <c r="W99" s="232" cm="1">
        <f t="array" ref="W99">SUMPRODUCT((MAR!M_Verweiszeile=$H99)*MAR!M_ProdN2*(MAR!M_Monat=$E99))</f>
        <v>0</v>
      </c>
      <c r="X99" s="232" cm="1">
        <f t="array" ref="X99">SUMPRODUCT((MAR!M_Verweiszeile=$H99)*MAR!M_Reise*(MAR!M_Monat=$E99))</f>
        <v>0</v>
      </c>
      <c r="Y99" s="232" cm="1">
        <f t="array" ref="Y99">SUMPRODUCT((MAR!M_Verweiszeile=$H99)*MAR!M_Reiseabzug*(MAR!M_Monat=$E99))</f>
        <v>0</v>
      </c>
      <c r="Z99" s="232">
        <f t="shared" si="29"/>
        <v>0</v>
      </c>
      <c r="AA99" s="232">
        <f t="shared" si="19"/>
        <v>0</v>
      </c>
      <c r="AB99" s="232">
        <f t="shared" si="20"/>
        <v>0</v>
      </c>
      <c r="AC99" s="232">
        <f t="shared" si="30"/>
        <v>0</v>
      </c>
      <c r="AD99" s="232">
        <f t="shared" si="31"/>
        <v>0</v>
      </c>
      <c r="AE99" s="232">
        <f t="shared" si="32"/>
        <v>0</v>
      </c>
    </row>
    <row r="100" spans="3:31" x14ac:dyDescent="0.2">
      <c r="C100" s="128">
        <v>91</v>
      </c>
      <c r="D100" s="186">
        <f t="shared" si="33"/>
        <v>46113</v>
      </c>
      <c r="E100" s="128">
        <f t="shared" si="21"/>
        <v>4</v>
      </c>
      <c r="F100" s="187">
        <f t="shared" si="22"/>
        <v>46113</v>
      </c>
      <c r="G100" s="128">
        <f t="shared" si="23"/>
        <v>14</v>
      </c>
      <c r="H100" s="128">
        <f t="shared" si="24"/>
        <v>1</v>
      </c>
      <c r="I100" s="128">
        <f t="shared" si="25"/>
        <v>3</v>
      </c>
      <c r="J100" s="188">
        <f t="shared" si="26"/>
        <v>46113</v>
      </c>
      <c r="K100" s="128" t="str" cm="1">
        <f t="array" ref="K100">IF(AND(I100&lt;7,INDEX(B_tblFTMatrix,$E100,$H100)="x"),"ft","")</f>
        <v/>
      </c>
      <c r="L100" s="128"/>
      <c r="M100" s="128"/>
      <c r="N100" s="128">
        <f t="shared" si="17"/>
        <v>1</v>
      </c>
      <c r="O100" s="128">
        <f t="shared" si="27"/>
        <v>1</v>
      </c>
      <c r="P100" s="227">
        <f t="shared" si="18"/>
        <v>8</v>
      </c>
      <c r="Q100" s="229" cm="1">
        <f t="array" ref="Q100">SUMPRODUCT((H_tblBGTage=I100)*(H_tblBGMnt=E100)*H_tblBG%)</f>
        <v>1</v>
      </c>
      <c r="R100" s="227">
        <f t="shared" si="28"/>
        <v>8</v>
      </c>
      <c r="S100" s="233"/>
      <c r="T100" s="233"/>
      <c r="U100" s="311" cm="1">
        <f t="array" ref="U100">SUMPRODUCT((MAR!M_Verweiszeile=$H100)*MAR!M_ProdTag*(MAR!M_Monat=$E100))+SUMPRODUCT((AVR!M_Verweiszeile=$H100)*AVR!M_ProdTag*(AVR!M_Monat=$E100))</f>
        <v>0</v>
      </c>
      <c r="V100" s="232" cm="1">
        <f t="array" ref="V100">SUMPRODUCT((MAR!M_Verweiszeile=$H100)*MAR!M_ProdN1*(MAR!M_Monat=$E100))+SUMPRODUCT((AVR!M_Verweiszeile=$H100)*AVR!M_ProdN1*(AVR!M_Monat=$E100))</f>
        <v>0</v>
      </c>
      <c r="W100" s="232" cm="1">
        <f t="array" ref="W100">SUMPRODUCT((MAR!M_Verweiszeile=$H100)*MAR!M_ProdN2*(MAR!M_Monat=$E100))+SUMPRODUCT((AVR!M_Verweiszeile=$H100)*AVR!M_ProdN2*(AVR!M_Monat=$E100))</f>
        <v>0</v>
      </c>
      <c r="X100" s="232" cm="1">
        <f t="array" ref="X100">SUMPRODUCT((MAR!M_Verweiszeile=$H100)*MAR!M_Reise*(MAR!M_Monat=$E100))+SUMPRODUCT((AVR!M_Verweiszeile=$H100)*AVR!M_Reise*(AVR!M_Monat=$E100))</f>
        <v>0</v>
      </c>
      <c r="Y100" s="232" cm="1">
        <f t="array" ref="Y100">SUMPRODUCT((MAR!M_Verweiszeile=$H100)*MAR!M_Reiseabzug*(MAR!M_Monat=$E100))+SUMPRODUCT((AVR!M_Verweiszeile=$H100)*AVR!M_Reiseabzug*(AVR!M_Monat=$E100))</f>
        <v>0</v>
      </c>
      <c r="Z100" s="232">
        <f t="shared" si="29"/>
        <v>0</v>
      </c>
      <c r="AA100" s="232">
        <f t="shared" si="19"/>
        <v>0</v>
      </c>
      <c r="AB100" s="232">
        <f t="shared" si="20"/>
        <v>0</v>
      </c>
      <c r="AC100" s="232">
        <f t="shared" si="30"/>
        <v>0</v>
      </c>
      <c r="AD100" s="232">
        <f t="shared" si="31"/>
        <v>0</v>
      </c>
      <c r="AE100" s="232">
        <f t="shared" si="32"/>
        <v>0</v>
      </c>
    </row>
    <row r="101" spans="3:31" x14ac:dyDescent="0.2">
      <c r="C101" s="128">
        <v>92</v>
      </c>
      <c r="D101" s="186">
        <f t="shared" si="33"/>
        <v>46114</v>
      </c>
      <c r="E101" s="128">
        <f t="shared" si="21"/>
        <v>4</v>
      </c>
      <c r="F101" s="187">
        <f t="shared" si="22"/>
        <v>46114</v>
      </c>
      <c r="G101" s="128">
        <f t="shared" si="23"/>
        <v>14</v>
      </c>
      <c r="H101" s="128">
        <f t="shared" si="24"/>
        <v>2</v>
      </c>
      <c r="I101" s="128">
        <f t="shared" si="25"/>
        <v>4</v>
      </c>
      <c r="J101" s="188">
        <f t="shared" si="26"/>
        <v>46114</v>
      </c>
      <c r="K101" s="128" t="str" cm="1">
        <f t="array" ref="K101">IF(AND(I101&lt;7,INDEX(B_tblFTMatrix,$E101,$H101)="x"),"ft","")</f>
        <v/>
      </c>
      <c r="L101" s="128"/>
      <c r="M101" s="128"/>
      <c r="N101" s="128">
        <f t="shared" si="17"/>
        <v>1</v>
      </c>
      <c r="O101" s="128">
        <f t="shared" si="27"/>
        <v>1</v>
      </c>
      <c r="P101" s="227">
        <f t="shared" si="18"/>
        <v>8</v>
      </c>
      <c r="Q101" s="229" cm="1">
        <f t="array" ref="Q101">SUMPRODUCT((H_tblBGTage=I101)*(H_tblBGMnt=E101)*H_tblBG%)</f>
        <v>1</v>
      </c>
      <c r="R101" s="227">
        <f t="shared" si="28"/>
        <v>8</v>
      </c>
      <c r="S101" s="233"/>
      <c r="T101" s="233"/>
      <c r="U101" s="311" cm="1">
        <f t="array" ref="U101">SUMPRODUCT((AVR!M_Verweiszeile=$H101)*AVR!M_ProdTag*(AVR!M_Monat=$E101))</f>
        <v>0</v>
      </c>
      <c r="V101" s="232" cm="1">
        <f t="array" ref="V101">SUMPRODUCT((AVR!M_Verweiszeile=$H101)*AVR!M_ProdN1*(AVR!M_Monat=$E101))</f>
        <v>0</v>
      </c>
      <c r="W101" s="232" cm="1">
        <f t="array" ref="W101">SUMPRODUCT((AVR!M_Verweiszeile=$H101)*AVR!M_ProdN2*(AVR!M_Monat=$E101))</f>
        <v>0</v>
      </c>
      <c r="X101" s="232" cm="1">
        <f t="array" ref="X101">SUMPRODUCT((AVR!M_Verweiszeile=$H101)*AVR!M_Reise*(AVR!M_Monat=$E101))</f>
        <v>0</v>
      </c>
      <c r="Y101" s="232" cm="1">
        <f t="array" ref="Y101">SUMPRODUCT((AVR!M_Verweiszeile=$H101)*AVR!M_Reiseabzug*(AVR!M_Monat=$E101))</f>
        <v>0</v>
      </c>
      <c r="Z101" s="232">
        <f t="shared" si="29"/>
        <v>0</v>
      </c>
      <c r="AA101" s="232">
        <f t="shared" si="19"/>
        <v>0</v>
      </c>
      <c r="AB101" s="232">
        <f t="shared" si="20"/>
        <v>0</v>
      </c>
      <c r="AC101" s="232">
        <f t="shared" si="30"/>
        <v>0</v>
      </c>
      <c r="AD101" s="232">
        <f t="shared" si="31"/>
        <v>0</v>
      </c>
      <c r="AE101" s="232">
        <f t="shared" si="32"/>
        <v>0</v>
      </c>
    </row>
    <row r="102" spans="3:31" x14ac:dyDescent="0.2">
      <c r="C102" s="128">
        <v>93</v>
      </c>
      <c r="D102" s="186">
        <f t="shared" si="33"/>
        <v>46115</v>
      </c>
      <c r="E102" s="128">
        <f t="shared" si="21"/>
        <v>4</v>
      </c>
      <c r="F102" s="187">
        <f t="shared" si="22"/>
        <v>46115</v>
      </c>
      <c r="G102" s="128">
        <f t="shared" si="23"/>
        <v>14</v>
      </c>
      <c r="H102" s="128">
        <f t="shared" si="24"/>
        <v>3</v>
      </c>
      <c r="I102" s="128">
        <f t="shared" si="25"/>
        <v>5</v>
      </c>
      <c r="J102" s="188">
        <f t="shared" si="26"/>
        <v>46115</v>
      </c>
      <c r="K102" s="128" t="str" cm="1">
        <f t="array" ref="K102">IF(AND(I102&lt;7,INDEX(B_tblFTMatrix,$E102,$H102)="x"),"ft","")</f>
        <v>ft</v>
      </c>
      <c r="L102" s="128"/>
      <c r="M102" s="128"/>
      <c r="N102" s="128">
        <f t="shared" si="17"/>
        <v>1</v>
      </c>
      <c r="O102" s="128">
        <f t="shared" si="27"/>
        <v>1</v>
      </c>
      <c r="P102" s="227">
        <f t="shared" si="18"/>
        <v>8</v>
      </c>
      <c r="Q102" s="229" cm="1">
        <f t="array" ref="Q102">SUMPRODUCT((H_tblBGTage=I102)*(H_tblBGMnt=E102)*H_tblBG%)</f>
        <v>1</v>
      </c>
      <c r="R102" s="227">
        <f t="shared" si="28"/>
        <v>8</v>
      </c>
      <c r="S102" s="233"/>
      <c r="T102" s="233"/>
      <c r="U102" s="232" cm="1">
        <f t="array" ref="U102">SUMPRODUCT((AVR!M_Verweiszeile=$H102)*AVR!M_ProdTag*(AVR!M_Monat=$E102))</f>
        <v>0</v>
      </c>
      <c r="V102" s="232" cm="1">
        <f t="array" ref="V102">SUMPRODUCT((AVR!M_Verweiszeile=$H102)*AVR!M_ProdN1*(AVR!M_Monat=$E102))</f>
        <v>0</v>
      </c>
      <c r="W102" s="232" cm="1">
        <f t="array" ref="W102">SUMPRODUCT((AVR!M_Verweiszeile=$H102)*AVR!M_ProdN2*(AVR!M_Monat=$E102))</f>
        <v>0</v>
      </c>
      <c r="X102" s="232" cm="1">
        <f t="array" ref="X102">SUMPRODUCT((AVR!M_Verweiszeile=$H102)*AVR!M_Reise*(AVR!M_Monat=$E102))</f>
        <v>0</v>
      </c>
      <c r="Y102" s="232" cm="1">
        <f t="array" ref="Y102">SUMPRODUCT((AVR!M_Verweiszeile=$H102)*AVR!M_Reiseabzug*(AVR!M_Monat=$E102))</f>
        <v>0</v>
      </c>
      <c r="Z102" s="232">
        <f t="shared" si="29"/>
        <v>0</v>
      </c>
      <c r="AA102" s="232">
        <f t="shared" si="19"/>
        <v>8</v>
      </c>
      <c r="AB102" s="232">
        <f t="shared" si="20"/>
        <v>0</v>
      </c>
      <c r="AC102" s="232">
        <f t="shared" si="30"/>
        <v>0</v>
      </c>
      <c r="AD102" s="232">
        <f t="shared" si="31"/>
        <v>8</v>
      </c>
      <c r="AE102" s="232">
        <f t="shared" si="32"/>
        <v>8</v>
      </c>
    </row>
    <row r="103" spans="3:31" x14ac:dyDescent="0.2">
      <c r="C103" s="128">
        <v>94</v>
      </c>
      <c r="D103" s="186">
        <f t="shared" si="33"/>
        <v>46116</v>
      </c>
      <c r="E103" s="128">
        <f t="shared" si="21"/>
        <v>4</v>
      </c>
      <c r="F103" s="187">
        <f t="shared" si="22"/>
        <v>46116</v>
      </c>
      <c r="G103" s="128">
        <f t="shared" si="23"/>
        <v>14</v>
      </c>
      <c r="H103" s="128">
        <f t="shared" si="24"/>
        <v>4</v>
      </c>
      <c r="I103" s="128">
        <f t="shared" si="25"/>
        <v>6</v>
      </c>
      <c r="J103" s="188">
        <f t="shared" si="26"/>
        <v>46116</v>
      </c>
      <c r="K103" s="128" t="str" cm="1">
        <f t="array" ref="K103">IF(AND(I103&lt;7,INDEX(B_tblFTMatrix,$E103,$H103)="x"),"ft","")</f>
        <v/>
      </c>
      <c r="L103" s="128"/>
      <c r="M103" s="128"/>
      <c r="N103" s="128">
        <f t="shared" si="17"/>
        <v>0</v>
      </c>
      <c r="O103" s="128">
        <f t="shared" si="27"/>
        <v>0</v>
      </c>
      <c r="P103" s="227">
        <f t="shared" si="18"/>
        <v>0</v>
      </c>
      <c r="Q103" s="229" cm="1">
        <f t="array" ref="Q103">SUMPRODUCT((H_tblBGTage=I103)*(H_tblBGMnt=E103)*H_tblBG%)</f>
        <v>0</v>
      </c>
      <c r="R103" s="227">
        <f t="shared" si="28"/>
        <v>0</v>
      </c>
      <c r="S103" s="233"/>
      <c r="T103" s="233"/>
      <c r="U103" s="232" cm="1">
        <f t="array" ref="U103">SUMPRODUCT((AVR!M_Verweiszeile=$H103)*AVR!M_ProdTag*(AVR!M_Monat=$E103))</f>
        <v>0</v>
      </c>
      <c r="V103" s="232" cm="1">
        <f t="array" ref="V103">SUMPRODUCT((AVR!M_Verweiszeile=$H103)*AVR!M_ProdN1*(AVR!M_Monat=$E103))</f>
        <v>0</v>
      </c>
      <c r="W103" s="232" cm="1">
        <f t="array" ref="W103">SUMPRODUCT((AVR!M_Verweiszeile=$H103)*AVR!M_ProdN2*(AVR!M_Monat=$E103))</f>
        <v>0</v>
      </c>
      <c r="X103" s="232" cm="1">
        <f t="array" ref="X103">SUMPRODUCT((AVR!M_Verweiszeile=$H103)*AVR!M_Reise*(AVR!M_Monat=$E103))</f>
        <v>0</v>
      </c>
      <c r="Y103" s="232" cm="1">
        <f t="array" ref="Y103">SUMPRODUCT((AVR!M_Verweiszeile=$H103)*AVR!M_Reiseabzug*(AVR!M_Monat=$E103))</f>
        <v>0</v>
      </c>
      <c r="Z103" s="232">
        <f t="shared" si="29"/>
        <v>0</v>
      </c>
      <c r="AA103" s="232">
        <f t="shared" si="19"/>
        <v>0</v>
      </c>
      <c r="AB103" s="232">
        <f t="shared" si="20"/>
        <v>0</v>
      </c>
      <c r="AC103" s="232">
        <f t="shared" si="30"/>
        <v>0</v>
      </c>
      <c r="AD103" s="232">
        <f t="shared" si="31"/>
        <v>0</v>
      </c>
      <c r="AE103" s="232">
        <f t="shared" si="32"/>
        <v>0</v>
      </c>
    </row>
    <row r="104" spans="3:31" x14ac:dyDescent="0.2">
      <c r="C104" s="128">
        <v>95</v>
      </c>
      <c r="D104" s="186">
        <f t="shared" si="33"/>
        <v>46117</v>
      </c>
      <c r="E104" s="128">
        <f t="shared" si="21"/>
        <v>4</v>
      </c>
      <c r="F104" s="187">
        <f t="shared" si="22"/>
        <v>46117</v>
      </c>
      <c r="G104" s="128">
        <f t="shared" si="23"/>
        <v>14</v>
      </c>
      <c r="H104" s="128">
        <f t="shared" si="24"/>
        <v>5</v>
      </c>
      <c r="I104" s="128">
        <f t="shared" si="25"/>
        <v>7</v>
      </c>
      <c r="J104" s="188">
        <f t="shared" si="26"/>
        <v>46117</v>
      </c>
      <c r="K104" s="128" t="str" cm="1">
        <f t="array" ref="K104">IF(AND(I104&lt;7,INDEX(B_tblFTMatrix,$E104,$H104)="x"),"ft","")</f>
        <v/>
      </c>
      <c r="L104" s="128"/>
      <c r="M104" s="128"/>
      <c r="N104" s="128">
        <f t="shared" si="17"/>
        <v>0</v>
      </c>
      <c r="O104" s="128">
        <f t="shared" si="27"/>
        <v>0</v>
      </c>
      <c r="P104" s="227">
        <f t="shared" si="18"/>
        <v>0</v>
      </c>
      <c r="Q104" s="229" cm="1">
        <f t="array" ref="Q104">SUMPRODUCT((H_tblBGTage=I104)*(H_tblBGMnt=E104)*H_tblBG%)</f>
        <v>0</v>
      </c>
      <c r="R104" s="227">
        <f t="shared" si="28"/>
        <v>0</v>
      </c>
      <c r="S104" s="233"/>
      <c r="T104" s="233"/>
      <c r="U104" s="232" cm="1">
        <f t="array" ref="U104">SUMPRODUCT((AVR!M_Verweiszeile=$H104)*AVR!M_ProdTag*(AVR!M_Monat=$E104))</f>
        <v>0</v>
      </c>
      <c r="V104" s="232" cm="1">
        <f t="array" ref="V104">SUMPRODUCT((AVR!M_Verweiszeile=$H104)*AVR!M_ProdN1*(AVR!M_Monat=$E104))</f>
        <v>0</v>
      </c>
      <c r="W104" s="232" cm="1">
        <f t="array" ref="W104">SUMPRODUCT((AVR!M_Verweiszeile=$H104)*AVR!M_ProdN2*(AVR!M_Monat=$E104))</f>
        <v>0</v>
      </c>
      <c r="X104" s="232" cm="1">
        <f t="array" ref="X104">SUMPRODUCT((AVR!M_Verweiszeile=$H104)*AVR!M_Reise*(AVR!M_Monat=$E104))</f>
        <v>0</v>
      </c>
      <c r="Y104" s="232" cm="1">
        <f t="array" ref="Y104">SUMPRODUCT((AVR!M_Verweiszeile=$H104)*AVR!M_Reiseabzug*(AVR!M_Monat=$E104))</f>
        <v>0</v>
      </c>
      <c r="Z104" s="232">
        <f t="shared" si="29"/>
        <v>0</v>
      </c>
      <c r="AA104" s="232">
        <f t="shared" si="19"/>
        <v>0</v>
      </c>
      <c r="AB104" s="232">
        <f t="shared" si="20"/>
        <v>0</v>
      </c>
      <c r="AC104" s="232">
        <f t="shared" si="30"/>
        <v>0</v>
      </c>
      <c r="AD104" s="232">
        <f t="shared" si="31"/>
        <v>0</v>
      </c>
      <c r="AE104" s="232">
        <f t="shared" si="32"/>
        <v>0</v>
      </c>
    </row>
    <row r="105" spans="3:31" x14ac:dyDescent="0.2">
      <c r="C105" s="128">
        <v>96</v>
      </c>
      <c r="D105" s="186">
        <f t="shared" si="33"/>
        <v>46118</v>
      </c>
      <c r="E105" s="128">
        <f t="shared" si="21"/>
        <v>4</v>
      </c>
      <c r="F105" s="187">
        <f t="shared" si="22"/>
        <v>46118</v>
      </c>
      <c r="G105" s="128">
        <f t="shared" si="23"/>
        <v>15</v>
      </c>
      <c r="H105" s="128">
        <f t="shared" si="24"/>
        <v>6</v>
      </c>
      <c r="I105" s="128">
        <f t="shared" si="25"/>
        <v>1</v>
      </c>
      <c r="J105" s="188">
        <f t="shared" si="26"/>
        <v>46118</v>
      </c>
      <c r="K105" s="128" t="str" cm="1">
        <f t="array" ref="K105">IF(AND(I105&lt;7,INDEX(B_tblFTMatrix,$E105,$H105)="x"),"ft","")</f>
        <v>ft</v>
      </c>
      <c r="L105" s="128"/>
      <c r="M105" s="128"/>
      <c r="N105" s="128">
        <f t="shared" si="17"/>
        <v>1</v>
      </c>
      <c r="O105" s="128">
        <f t="shared" si="27"/>
        <v>1</v>
      </c>
      <c r="P105" s="227">
        <f t="shared" si="18"/>
        <v>8</v>
      </c>
      <c r="Q105" s="229" cm="1">
        <f t="array" ref="Q105">SUMPRODUCT((H_tblBGTage=I105)*(H_tblBGMnt=E105)*H_tblBG%)</f>
        <v>1</v>
      </c>
      <c r="R105" s="227">
        <f t="shared" si="28"/>
        <v>8</v>
      </c>
      <c r="S105" s="233"/>
      <c r="T105" s="233"/>
      <c r="U105" s="232" cm="1">
        <f t="array" ref="U105">SUMPRODUCT((AVR!M_Verweiszeile=$H105)*AVR!M_ProdTag*(AVR!M_Monat=$E105))</f>
        <v>0</v>
      </c>
      <c r="V105" s="232" cm="1">
        <f t="array" ref="V105">SUMPRODUCT((AVR!M_Verweiszeile=$H105)*AVR!M_ProdN1*(AVR!M_Monat=$E105))</f>
        <v>0</v>
      </c>
      <c r="W105" s="232" cm="1">
        <f t="array" ref="W105">SUMPRODUCT((AVR!M_Verweiszeile=$H105)*AVR!M_ProdN2*(AVR!M_Monat=$E105))</f>
        <v>0</v>
      </c>
      <c r="X105" s="232" cm="1">
        <f t="array" ref="X105">SUMPRODUCT((AVR!M_Verweiszeile=$H105)*AVR!M_Reise*(AVR!M_Monat=$E105))</f>
        <v>0</v>
      </c>
      <c r="Y105" s="232" cm="1">
        <f t="array" ref="Y105">SUMPRODUCT((AVR!M_Verweiszeile=$H105)*AVR!M_Reiseabzug*(AVR!M_Monat=$E105))</f>
        <v>0</v>
      </c>
      <c r="Z105" s="232">
        <f t="shared" si="29"/>
        <v>0</v>
      </c>
      <c r="AA105" s="232">
        <f t="shared" si="19"/>
        <v>8</v>
      </c>
      <c r="AB105" s="232">
        <f t="shared" si="20"/>
        <v>0</v>
      </c>
      <c r="AC105" s="232">
        <f t="shared" si="30"/>
        <v>0</v>
      </c>
      <c r="AD105" s="232">
        <f t="shared" si="31"/>
        <v>8</v>
      </c>
      <c r="AE105" s="232">
        <f t="shared" si="32"/>
        <v>8</v>
      </c>
    </row>
    <row r="106" spans="3:31" x14ac:dyDescent="0.2">
      <c r="C106" s="128">
        <v>97</v>
      </c>
      <c r="D106" s="186">
        <f t="shared" si="33"/>
        <v>46119</v>
      </c>
      <c r="E106" s="128">
        <f t="shared" si="21"/>
        <v>4</v>
      </c>
      <c r="F106" s="187">
        <f t="shared" si="22"/>
        <v>46119</v>
      </c>
      <c r="G106" s="128">
        <f t="shared" si="23"/>
        <v>15</v>
      </c>
      <c r="H106" s="128">
        <f t="shared" si="24"/>
        <v>7</v>
      </c>
      <c r="I106" s="128">
        <f t="shared" si="25"/>
        <v>2</v>
      </c>
      <c r="J106" s="188">
        <f t="shared" si="26"/>
        <v>46119</v>
      </c>
      <c r="K106" s="128" t="str" cm="1">
        <f t="array" ref="K106">IF(AND(I106&lt;7,INDEX(B_tblFTMatrix,$E106,$H106)="x"),"ft","")</f>
        <v/>
      </c>
      <c r="L106" s="128"/>
      <c r="M106" s="128"/>
      <c r="N106" s="128">
        <f t="shared" si="17"/>
        <v>1</v>
      </c>
      <c r="O106" s="128">
        <f t="shared" si="27"/>
        <v>1</v>
      </c>
      <c r="P106" s="227">
        <f t="shared" si="18"/>
        <v>8</v>
      </c>
      <c r="Q106" s="229" cm="1">
        <f t="array" ref="Q106">SUMPRODUCT((H_tblBGTage=I106)*(H_tblBGMnt=E106)*H_tblBG%)</f>
        <v>1</v>
      </c>
      <c r="R106" s="227">
        <f t="shared" si="28"/>
        <v>8</v>
      </c>
      <c r="S106" s="233"/>
      <c r="T106" s="233"/>
      <c r="U106" s="232" cm="1">
        <f t="array" ref="U106">SUMPRODUCT((AVR!M_Verweiszeile=$H106)*AVR!M_ProdTag*(AVR!M_Monat=$E106))</f>
        <v>0</v>
      </c>
      <c r="V106" s="232" cm="1">
        <f t="array" ref="V106">SUMPRODUCT((AVR!M_Verweiszeile=$H106)*AVR!M_ProdN1*(AVR!M_Monat=$E106))</f>
        <v>0</v>
      </c>
      <c r="W106" s="232" cm="1">
        <f t="array" ref="W106">SUMPRODUCT((AVR!M_Verweiszeile=$H106)*AVR!M_ProdN2*(AVR!M_Monat=$E106))</f>
        <v>0</v>
      </c>
      <c r="X106" s="232" cm="1">
        <f t="array" ref="X106">SUMPRODUCT((AVR!M_Verweiszeile=$H106)*AVR!M_Reise*(AVR!M_Monat=$E106))</f>
        <v>0</v>
      </c>
      <c r="Y106" s="232" cm="1">
        <f t="array" ref="Y106">SUMPRODUCT((AVR!M_Verweiszeile=$H106)*AVR!M_Reiseabzug*(AVR!M_Monat=$E106))</f>
        <v>0</v>
      </c>
      <c r="Z106" s="232">
        <f t="shared" si="29"/>
        <v>0</v>
      </c>
      <c r="AA106" s="232">
        <f t="shared" si="19"/>
        <v>0</v>
      </c>
      <c r="AB106" s="232">
        <f t="shared" si="20"/>
        <v>0</v>
      </c>
      <c r="AC106" s="232">
        <f t="shared" si="30"/>
        <v>0</v>
      </c>
      <c r="AD106" s="232">
        <f t="shared" si="31"/>
        <v>0</v>
      </c>
      <c r="AE106" s="232">
        <f t="shared" si="32"/>
        <v>0</v>
      </c>
    </row>
    <row r="107" spans="3:31" x14ac:dyDescent="0.2">
      <c r="C107" s="128">
        <v>98</v>
      </c>
      <c r="D107" s="186">
        <f t="shared" si="33"/>
        <v>46120</v>
      </c>
      <c r="E107" s="128">
        <f t="shared" si="21"/>
        <v>4</v>
      </c>
      <c r="F107" s="187">
        <f t="shared" si="22"/>
        <v>46120</v>
      </c>
      <c r="G107" s="128">
        <f t="shared" si="23"/>
        <v>15</v>
      </c>
      <c r="H107" s="128">
        <f t="shared" si="24"/>
        <v>8</v>
      </c>
      <c r="I107" s="128">
        <f t="shared" si="25"/>
        <v>3</v>
      </c>
      <c r="J107" s="188">
        <f t="shared" si="26"/>
        <v>46120</v>
      </c>
      <c r="K107" s="128" t="str" cm="1">
        <f t="array" ref="K107">IF(AND(I107&lt;7,INDEX(B_tblFTMatrix,$E107,$H107)="x"),"ft","")</f>
        <v/>
      </c>
      <c r="L107" s="128"/>
      <c r="M107" s="128"/>
      <c r="N107" s="128">
        <f t="shared" si="17"/>
        <v>1</v>
      </c>
      <c r="O107" s="128">
        <f t="shared" si="27"/>
        <v>1</v>
      </c>
      <c r="P107" s="227">
        <f t="shared" si="18"/>
        <v>8</v>
      </c>
      <c r="Q107" s="229" cm="1">
        <f t="array" ref="Q107">SUMPRODUCT((H_tblBGTage=I107)*(H_tblBGMnt=E107)*H_tblBG%)</f>
        <v>1</v>
      </c>
      <c r="R107" s="227">
        <f t="shared" si="28"/>
        <v>8</v>
      </c>
      <c r="S107" s="233"/>
      <c r="T107" s="233"/>
      <c r="U107" s="232" cm="1">
        <f t="array" ref="U107">SUMPRODUCT((AVR!M_Verweiszeile=$H107)*AVR!M_ProdTag*(AVR!M_Monat=$E107))</f>
        <v>0</v>
      </c>
      <c r="V107" s="232" cm="1">
        <f t="array" ref="V107">SUMPRODUCT((AVR!M_Verweiszeile=$H107)*AVR!M_ProdN1*(AVR!M_Monat=$E107))</f>
        <v>0</v>
      </c>
      <c r="W107" s="232" cm="1">
        <f t="array" ref="W107">SUMPRODUCT((AVR!M_Verweiszeile=$H107)*AVR!M_ProdN2*(AVR!M_Monat=$E107))</f>
        <v>0</v>
      </c>
      <c r="X107" s="232" cm="1">
        <f t="array" ref="X107">SUMPRODUCT((AVR!M_Verweiszeile=$H107)*AVR!M_Reise*(AVR!M_Monat=$E107))</f>
        <v>0</v>
      </c>
      <c r="Y107" s="232" cm="1">
        <f t="array" ref="Y107">SUMPRODUCT((AVR!M_Verweiszeile=$H107)*AVR!M_Reiseabzug*(AVR!M_Monat=$E107))</f>
        <v>0</v>
      </c>
      <c r="Z107" s="232">
        <f t="shared" si="29"/>
        <v>0</v>
      </c>
      <c r="AA107" s="232">
        <f t="shared" si="19"/>
        <v>0</v>
      </c>
      <c r="AB107" s="232">
        <f t="shared" si="20"/>
        <v>0</v>
      </c>
      <c r="AC107" s="232">
        <f t="shared" si="30"/>
        <v>0</v>
      </c>
      <c r="AD107" s="232">
        <f t="shared" si="31"/>
        <v>0</v>
      </c>
      <c r="AE107" s="232">
        <f t="shared" si="32"/>
        <v>0</v>
      </c>
    </row>
    <row r="108" spans="3:31" x14ac:dyDescent="0.2">
      <c r="C108" s="128">
        <v>99</v>
      </c>
      <c r="D108" s="186">
        <f t="shared" si="33"/>
        <v>46121</v>
      </c>
      <c r="E108" s="128">
        <f t="shared" si="21"/>
        <v>4</v>
      </c>
      <c r="F108" s="187">
        <f t="shared" si="22"/>
        <v>46121</v>
      </c>
      <c r="G108" s="128">
        <f t="shared" si="23"/>
        <v>15</v>
      </c>
      <c r="H108" s="128">
        <f t="shared" si="24"/>
        <v>9</v>
      </c>
      <c r="I108" s="128">
        <f t="shared" si="25"/>
        <v>4</v>
      </c>
      <c r="J108" s="188">
        <f t="shared" si="26"/>
        <v>46121</v>
      </c>
      <c r="K108" s="128" t="str" cm="1">
        <f t="array" ref="K108">IF(AND(I108&lt;7,INDEX(B_tblFTMatrix,$E108,$H108)="x"),"ft","")</f>
        <v/>
      </c>
      <c r="L108" s="128"/>
      <c r="M108" s="128"/>
      <c r="N108" s="128">
        <f t="shared" si="17"/>
        <v>1</v>
      </c>
      <c r="O108" s="128">
        <f t="shared" si="27"/>
        <v>1</v>
      </c>
      <c r="P108" s="227">
        <f t="shared" si="18"/>
        <v>8</v>
      </c>
      <c r="Q108" s="229" cm="1">
        <f t="array" ref="Q108">SUMPRODUCT((H_tblBGTage=I108)*(H_tblBGMnt=E108)*H_tblBG%)</f>
        <v>1</v>
      </c>
      <c r="R108" s="227">
        <f t="shared" si="28"/>
        <v>8</v>
      </c>
      <c r="S108" s="233"/>
      <c r="T108" s="233"/>
      <c r="U108" s="232" cm="1">
        <f t="array" ref="U108">SUMPRODUCT((AVR!M_Verweiszeile=$H108)*AVR!M_ProdTag*(AVR!M_Monat=$E108))</f>
        <v>0</v>
      </c>
      <c r="V108" s="232" cm="1">
        <f t="array" ref="V108">SUMPRODUCT((AVR!M_Verweiszeile=$H108)*AVR!M_ProdN1*(AVR!M_Monat=$E108))</f>
        <v>0</v>
      </c>
      <c r="W108" s="232" cm="1">
        <f t="array" ref="W108">SUMPRODUCT((AVR!M_Verweiszeile=$H108)*AVR!M_ProdN2*(AVR!M_Monat=$E108))</f>
        <v>0</v>
      </c>
      <c r="X108" s="232" cm="1">
        <f t="array" ref="X108">SUMPRODUCT((AVR!M_Verweiszeile=$H108)*AVR!M_Reise*(AVR!M_Monat=$E108))</f>
        <v>0</v>
      </c>
      <c r="Y108" s="232" cm="1">
        <f t="array" ref="Y108">SUMPRODUCT((AVR!M_Verweiszeile=$H108)*AVR!M_Reiseabzug*(AVR!M_Monat=$E108))</f>
        <v>0</v>
      </c>
      <c r="Z108" s="232">
        <f t="shared" si="29"/>
        <v>0</v>
      </c>
      <c r="AA108" s="232">
        <f t="shared" si="19"/>
        <v>0</v>
      </c>
      <c r="AB108" s="232">
        <f t="shared" si="20"/>
        <v>0</v>
      </c>
      <c r="AC108" s="232">
        <f t="shared" si="30"/>
        <v>0</v>
      </c>
      <c r="AD108" s="232">
        <f t="shared" si="31"/>
        <v>0</v>
      </c>
      <c r="AE108" s="232">
        <f t="shared" si="32"/>
        <v>0</v>
      </c>
    </row>
    <row r="109" spans="3:31" x14ac:dyDescent="0.2">
      <c r="C109" s="128">
        <v>100</v>
      </c>
      <c r="D109" s="186">
        <f t="shared" si="33"/>
        <v>46122</v>
      </c>
      <c r="E109" s="128">
        <f t="shared" si="21"/>
        <v>4</v>
      </c>
      <c r="F109" s="187">
        <f t="shared" si="22"/>
        <v>46122</v>
      </c>
      <c r="G109" s="128">
        <f t="shared" si="23"/>
        <v>15</v>
      </c>
      <c r="H109" s="128">
        <f t="shared" si="24"/>
        <v>10</v>
      </c>
      <c r="I109" s="128">
        <f t="shared" si="25"/>
        <v>5</v>
      </c>
      <c r="J109" s="188">
        <f t="shared" si="26"/>
        <v>46122</v>
      </c>
      <c r="K109" s="128" t="str" cm="1">
        <f t="array" ref="K109">IF(AND(I109&lt;7,INDEX(B_tblFTMatrix,$E109,$H109)="x"),"ft","")</f>
        <v/>
      </c>
      <c r="L109" s="128"/>
      <c r="M109" s="128"/>
      <c r="N109" s="128">
        <f t="shared" si="17"/>
        <v>1</v>
      </c>
      <c r="O109" s="128">
        <f t="shared" si="27"/>
        <v>1</v>
      </c>
      <c r="P109" s="227">
        <f t="shared" si="18"/>
        <v>8</v>
      </c>
      <c r="Q109" s="229" cm="1">
        <f t="array" ref="Q109">SUMPRODUCT((H_tblBGTage=I109)*(H_tblBGMnt=E109)*H_tblBG%)</f>
        <v>1</v>
      </c>
      <c r="R109" s="227">
        <f t="shared" si="28"/>
        <v>8</v>
      </c>
      <c r="S109" s="233"/>
      <c r="T109" s="233"/>
      <c r="U109" s="232" cm="1">
        <f t="array" ref="U109">SUMPRODUCT((AVR!M_Verweiszeile=$H109)*AVR!M_ProdTag*(AVR!M_Monat=$E109))</f>
        <v>0</v>
      </c>
      <c r="V109" s="232" cm="1">
        <f t="array" ref="V109">SUMPRODUCT((AVR!M_Verweiszeile=$H109)*AVR!M_ProdN1*(AVR!M_Monat=$E109))</f>
        <v>0</v>
      </c>
      <c r="W109" s="232" cm="1">
        <f t="array" ref="W109">SUMPRODUCT((AVR!M_Verweiszeile=$H109)*AVR!M_ProdN2*(AVR!M_Monat=$E109))</f>
        <v>0</v>
      </c>
      <c r="X109" s="232" cm="1">
        <f t="array" ref="X109">SUMPRODUCT((AVR!M_Verweiszeile=$H109)*AVR!M_Reise*(AVR!M_Monat=$E109))</f>
        <v>0</v>
      </c>
      <c r="Y109" s="232" cm="1">
        <f t="array" ref="Y109">SUMPRODUCT((AVR!M_Verweiszeile=$H109)*AVR!M_Reiseabzug*(AVR!M_Monat=$E109))</f>
        <v>0</v>
      </c>
      <c r="Z109" s="232">
        <f t="shared" si="29"/>
        <v>0</v>
      </c>
      <c r="AA109" s="232">
        <f t="shared" si="19"/>
        <v>0</v>
      </c>
      <c r="AB109" s="232">
        <f t="shared" si="20"/>
        <v>0</v>
      </c>
      <c r="AC109" s="232">
        <f t="shared" si="30"/>
        <v>0</v>
      </c>
      <c r="AD109" s="232">
        <f t="shared" si="31"/>
        <v>0</v>
      </c>
      <c r="AE109" s="232">
        <f t="shared" si="32"/>
        <v>0</v>
      </c>
    </row>
    <row r="110" spans="3:31" x14ac:dyDescent="0.2">
      <c r="C110" s="128">
        <v>101</v>
      </c>
      <c r="D110" s="186">
        <f t="shared" si="33"/>
        <v>46123</v>
      </c>
      <c r="E110" s="128">
        <f t="shared" si="21"/>
        <v>4</v>
      </c>
      <c r="F110" s="187">
        <f t="shared" si="22"/>
        <v>46123</v>
      </c>
      <c r="G110" s="128">
        <f t="shared" si="23"/>
        <v>15</v>
      </c>
      <c r="H110" s="128">
        <f t="shared" si="24"/>
        <v>11</v>
      </c>
      <c r="I110" s="128">
        <f t="shared" si="25"/>
        <v>6</v>
      </c>
      <c r="J110" s="188">
        <f t="shared" si="26"/>
        <v>46123</v>
      </c>
      <c r="K110" s="128" t="str" cm="1">
        <f t="array" ref="K110">IF(AND(I110&lt;7,INDEX(B_tblFTMatrix,$E110,$H110)="x"),"ft","")</f>
        <v/>
      </c>
      <c r="L110" s="128"/>
      <c r="M110" s="128"/>
      <c r="N110" s="128">
        <f t="shared" si="17"/>
        <v>0</v>
      </c>
      <c r="O110" s="128">
        <f t="shared" si="27"/>
        <v>0</v>
      </c>
      <c r="P110" s="227">
        <f t="shared" si="18"/>
        <v>0</v>
      </c>
      <c r="Q110" s="229" cm="1">
        <f t="array" ref="Q110">SUMPRODUCT((H_tblBGTage=I110)*(H_tblBGMnt=E110)*H_tblBG%)</f>
        <v>0</v>
      </c>
      <c r="R110" s="227">
        <f t="shared" si="28"/>
        <v>0</v>
      </c>
      <c r="S110" s="233"/>
      <c r="T110" s="233"/>
      <c r="U110" s="232" cm="1">
        <f t="array" ref="U110">SUMPRODUCT((AVR!M_Verweiszeile=$H110)*AVR!M_ProdTag*(AVR!M_Monat=$E110))</f>
        <v>0</v>
      </c>
      <c r="V110" s="232" cm="1">
        <f t="array" ref="V110">SUMPRODUCT((AVR!M_Verweiszeile=$H110)*AVR!M_ProdN1*(AVR!M_Monat=$E110))</f>
        <v>0</v>
      </c>
      <c r="W110" s="232" cm="1">
        <f t="array" ref="W110">SUMPRODUCT((AVR!M_Verweiszeile=$H110)*AVR!M_ProdN2*(AVR!M_Monat=$E110))</f>
        <v>0</v>
      </c>
      <c r="X110" s="232" cm="1">
        <f t="array" ref="X110">SUMPRODUCT((AVR!M_Verweiszeile=$H110)*AVR!M_Reise*(AVR!M_Monat=$E110))</f>
        <v>0</v>
      </c>
      <c r="Y110" s="232" cm="1">
        <f t="array" ref="Y110">SUMPRODUCT((AVR!M_Verweiszeile=$H110)*AVR!M_Reiseabzug*(AVR!M_Monat=$E110))</f>
        <v>0</v>
      </c>
      <c r="Z110" s="232">
        <f t="shared" si="29"/>
        <v>0</v>
      </c>
      <c r="AA110" s="232">
        <f t="shared" si="19"/>
        <v>0</v>
      </c>
      <c r="AB110" s="232">
        <f t="shared" si="20"/>
        <v>0</v>
      </c>
      <c r="AC110" s="232">
        <f t="shared" si="30"/>
        <v>0</v>
      </c>
      <c r="AD110" s="232">
        <f t="shared" si="31"/>
        <v>0</v>
      </c>
      <c r="AE110" s="232">
        <f t="shared" si="32"/>
        <v>0</v>
      </c>
    </row>
    <row r="111" spans="3:31" x14ac:dyDescent="0.2">
      <c r="C111" s="128">
        <v>102</v>
      </c>
      <c r="D111" s="186">
        <f t="shared" si="33"/>
        <v>46124</v>
      </c>
      <c r="E111" s="128">
        <f t="shared" si="21"/>
        <v>4</v>
      </c>
      <c r="F111" s="187">
        <f t="shared" si="22"/>
        <v>46124</v>
      </c>
      <c r="G111" s="128">
        <f t="shared" si="23"/>
        <v>15</v>
      </c>
      <c r="H111" s="128">
        <f t="shared" si="24"/>
        <v>12</v>
      </c>
      <c r="I111" s="128">
        <f t="shared" si="25"/>
        <v>7</v>
      </c>
      <c r="J111" s="188">
        <f t="shared" si="26"/>
        <v>46124</v>
      </c>
      <c r="K111" s="128" t="str" cm="1">
        <f t="array" ref="K111">IF(AND(I111&lt;7,INDEX(B_tblFTMatrix,$E111,$H111)="x"),"ft","")</f>
        <v/>
      </c>
      <c r="L111" s="128"/>
      <c r="M111" s="128"/>
      <c r="N111" s="128">
        <f t="shared" si="17"/>
        <v>0</v>
      </c>
      <c r="O111" s="128">
        <f t="shared" si="27"/>
        <v>0</v>
      </c>
      <c r="P111" s="227">
        <f t="shared" si="18"/>
        <v>0</v>
      </c>
      <c r="Q111" s="229" cm="1">
        <f t="array" ref="Q111">SUMPRODUCT((H_tblBGTage=I111)*(H_tblBGMnt=E111)*H_tblBG%)</f>
        <v>0</v>
      </c>
      <c r="R111" s="227">
        <f t="shared" si="28"/>
        <v>0</v>
      </c>
      <c r="S111" s="233"/>
      <c r="T111" s="233"/>
      <c r="U111" s="232" cm="1">
        <f t="array" ref="U111">SUMPRODUCT((AVR!M_Verweiszeile=$H111)*AVR!M_ProdTag*(AVR!M_Monat=$E111))</f>
        <v>0</v>
      </c>
      <c r="V111" s="232" cm="1">
        <f t="array" ref="V111">SUMPRODUCT((AVR!M_Verweiszeile=$H111)*AVR!M_ProdN1*(AVR!M_Monat=$E111))</f>
        <v>0</v>
      </c>
      <c r="W111" s="232" cm="1">
        <f t="array" ref="W111">SUMPRODUCT((AVR!M_Verweiszeile=$H111)*AVR!M_ProdN2*(AVR!M_Monat=$E111))</f>
        <v>0</v>
      </c>
      <c r="X111" s="232" cm="1">
        <f t="array" ref="X111">SUMPRODUCT((AVR!M_Verweiszeile=$H111)*AVR!M_Reise*(AVR!M_Monat=$E111))</f>
        <v>0</v>
      </c>
      <c r="Y111" s="232" cm="1">
        <f t="array" ref="Y111">SUMPRODUCT((AVR!M_Verweiszeile=$H111)*AVR!M_Reiseabzug*(AVR!M_Monat=$E111))</f>
        <v>0</v>
      </c>
      <c r="Z111" s="232">
        <f t="shared" si="29"/>
        <v>0</v>
      </c>
      <c r="AA111" s="232">
        <f t="shared" si="19"/>
        <v>0</v>
      </c>
      <c r="AB111" s="232">
        <f t="shared" si="20"/>
        <v>0</v>
      </c>
      <c r="AC111" s="232">
        <f t="shared" si="30"/>
        <v>0</v>
      </c>
      <c r="AD111" s="232">
        <f t="shared" si="31"/>
        <v>0</v>
      </c>
      <c r="AE111" s="232">
        <f t="shared" si="32"/>
        <v>0</v>
      </c>
    </row>
    <row r="112" spans="3:31" x14ac:dyDescent="0.2">
      <c r="C112" s="128">
        <v>103</v>
      </c>
      <c r="D112" s="186">
        <f t="shared" si="33"/>
        <v>46125</v>
      </c>
      <c r="E112" s="128">
        <f t="shared" si="21"/>
        <v>4</v>
      </c>
      <c r="F112" s="187">
        <f t="shared" si="22"/>
        <v>46125</v>
      </c>
      <c r="G112" s="128">
        <f t="shared" si="23"/>
        <v>16</v>
      </c>
      <c r="H112" s="128">
        <f t="shared" si="24"/>
        <v>13</v>
      </c>
      <c r="I112" s="128">
        <f t="shared" si="25"/>
        <v>1</v>
      </c>
      <c r="J112" s="188">
        <f t="shared" si="26"/>
        <v>46125</v>
      </c>
      <c r="K112" s="128" t="str" cm="1">
        <f t="array" ref="K112">IF(AND(I112&lt;7,INDEX(B_tblFTMatrix,$E112,$H112)="x"),"ft","")</f>
        <v/>
      </c>
      <c r="L112" s="128"/>
      <c r="M112" s="128"/>
      <c r="N112" s="128">
        <f t="shared" si="17"/>
        <v>1</v>
      </c>
      <c r="O112" s="128">
        <f t="shared" si="27"/>
        <v>1</v>
      </c>
      <c r="P112" s="227">
        <f t="shared" si="18"/>
        <v>8</v>
      </c>
      <c r="Q112" s="229" cm="1">
        <f t="array" ref="Q112">SUMPRODUCT((H_tblBGTage=I112)*(H_tblBGMnt=E112)*H_tblBG%)</f>
        <v>1</v>
      </c>
      <c r="R112" s="227">
        <f t="shared" si="28"/>
        <v>8</v>
      </c>
      <c r="S112" s="233"/>
      <c r="T112" s="233"/>
      <c r="U112" s="232" cm="1">
        <f t="array" ref="U112">SUMPRODUCT((AVR!M_Verweiszeile=$H112)*AVR!M_ProdTag*(AVR!M_Monat=$E112))</f>
        <v>0</v>
      </c>
      <c r="V112" s="232" cm="1">
        <f t="array" ref="V112">SUMPRODUCT((AVR!M_Verweiszeile=$H112)*AVR!M_ProdN1*(AVR!M_Monat=$E112))</f>
        <v>0</v>
      </c>
      <c r="W112" s="232" cm="1">
        <f t="array" ref="W112">SUMPRODUCT((AVR!M_Verweiszeile=$H112)*AVR!M_ProdN2*(AVR!M_Monat=$E112))</f>
        <v>0</v>
      </c>
      <c r="X112" s="232" cm="1">
        <f t="array" ref="X112">SUMPRODUCT((AVR!M_Verweiszeile=$H112)*AVR!M_Reise*(AVR!M_Monat=$E112))</f>
        <v>0</v>
      </c>
      <c r="Y112" s="232" cm="1">
        <f t="array" ref="Y112">SUMPRODUCT((AVR!M_Verweiszeile=$H112)*AVR!M_Reiseabzug*(AVR!M_Monat=$E112))</f>
        <v>0</v>
      </c>
      <c r="Z112" s="232">
        <f t="shared" si="29"/>
        <v>0</v>
      </c>
      <c r="AA112" s="232">
        <f t="shared" si="19"/>
        <v>0</v>
      </c>
      <c r="AB112" s="232">
        <f t="shared" si="20"/>
        <v>0</v>
      </c>
      <c r="AC112" s="232">
        <f t="shared" si="30"/>
        <v>0</v>
      </c>
      <c r="AD112" s="232">
        <f t="shared" si="31"/>
        <v>0</v>
      </c>
      <c r="AE112" s="232">
        <f t="shared" si="32"/>
        <v>0</v>
      </c>
    </row>
    <row r="113" spans="3:31" x14ac:dyDescent="0.2">
      <c r="C113" s="128">
        <v>104</v>
      </c>
      <c r="D113" s="186">
        <f t="shared" si="33"/>
        <v>46126</v>
      </c>
      <c r="E113" s="128">
        <f t="shared" si="21"/>
        <v>4</v>
      </c>
      <c r="F113" s="187">
        <f t="shared" si="22"/>
        <v>46126</v>
      </c>
      <c r="G113" s="128">
        <f t="shared" si="23"/>
        <v>16</v>
      </c>
      <c r="H113" s="128">
        <f t="shared" si="24"/>
        <v>14</v>
      </c>
      <c r="I113" s="128">
        <f t="shared" si="25"/>
        <v>2</v>
      </c>
      <c r="J113" s="188">
        <f t="shared" si="26"/>
        <v>46126</v>
      </c>
      <c r="K113" s="128" t="str" cm="1">
        <f t="array" ref="K113">IF(AND(I113&lt;7,INDEX(B_tblFTMatrix,$E113,$H113)="x"),"ft","")</f>
        <v/>
      </c>
      <c r="L113" s="128"/>
      <c r="M113" s="128"/>
      <c r="N113" s="128">
        <f t="shared" si="17"/>
        <v>1</v>
      </c>
      <c r="O113" s="128">
        <f t="shared" si="27"/>
        <v>1</v>
      </c>
      <c r="P113" s="227">
        <f t="shared" si="18"/>
        <v>8</v>
      </c>
      <c r="Q113" s="229" cm="1">
        <f t="array" ref="Q113">SUMPRODUCT((H_tblBGTage=I113)*(H_tblBGMnt=E113)*H_tblBG%)</f>
        <v>1</v>
      </c>
      <c r="R113" s="227">
        <f t="shared" si="28"/>
        <v>8</v>
      </c>
      <c r="S113" s="233"/>
      <c r="T113" s="233"/>
      <c r="U113" s="232" cm="1">
        <f t="array" ref="U113">SUMPRODUCT((AVR!M_Verweiszeile=$H113)*AVR!M_ProdTag*(AVR!M_Monat=$E113))</f>
        <v>0</v>
      </c>
      <c r="V113" s="232" cm="1">
        <f t="array" ref="V113">SUMPRODUCT((AVR!M_Verweiszeile=$H113)*AVR!M_ProdN1*(AVR!M_Monat=$E113))</f>
        <v>0</v>
      </c>
      <c r="W113" s="232" cm="1">
        <f t="array" ref="W113">SUMPRODUCT((AVR!M_Verweiszeile=$H113)*AVR!M_ProdN2*(AVR!M_Monat=$E113))</f>
        <v>0</v>
      </c>
      <c r="X113" s="232" cm="1">
        <f t="array" ref="X113">SUMPRODUCT((AVR!M_Verweiszeile=$H113)*AVR!M_Reise*(AVR!M_Monat=$E113))</f>
        <v>0</v>
      </c>
      <c r="Y113" s="232" cm="1">
        <f t="array" ref="Y113">SUMPRODUCT((AVR!M_Verweiszeile=$H113)*AVR!M_Reiseabzug*(AVR!M_Monat=$E113))</f>
        <v>0</v>
      </c>
      <c r="Z113" s="232">
        <f t="shared" si="29"/>
        <v>0</v>
      </c>
      <c r="AA113" s="232">
        <f t="shared" si="19"/>
        <v>0</v>
      </c>
      <c r="AB113" s="232">
        <f t="shared" si="20"/>
        <v>0</v>
      </c>
      <c r="AC113" s="232">
        <f t="shared" si="30"/>
        <v>0</v>
      </c>
      <c r="AD113" s="232">
        <f t="shared" si="31"/>
        <v>0</v>
      </c>
      <c r="AE113" s="232">
        <f t="shared" si="32"/>
        <v>0</v>
      </c>
    </row>
    <row r="114" spans="3:31" x14ac:dyDescent="0.2">
      <c r="C114" s="128">
        <v>105</v>
      </c>
      <c r="D114" s="186">
        <f t="shared" si="33"/>
        <v>46127</v>
      </c>
      <c r="E114" s="128">
        <f t="shared" si="21"/>
        <v>4</v>
      </c>
      <c r="F114" s="187">
        <f t="shared" si="22"/>
        <v>46127</v>
      </c>
      <c r="G114" s="128">
        <f t="shared" si="23"/>
        <v>16</v>
      </c>
      <c r="H114" s="128">
        <f t="shared" si="24"/>
        <v>15</v>
      </c>
      <c r="I114" s="128">
        <f t="shared" si="25"/>
        <v>3</v>
      </c>
      <c r="J114" s="188">
        <f t="shared" si="26"/>
        <v>46127</v>
      </c>
      <c r="K114" s="128" t="str" cm="1">
        <f t="array" ref="K114">IF(AND(I114&lt;7,INDEX(B_tblFTMatrix,$E114,$H114)="x"),"ft","")</f>
        <v/>
      </c>
      <c r="L114" s="128"/>
      <c r="M114" s="128"/>
      <c r="N114" s="128">
        <f t="shared" si="17"/>
        <v>1</v>
      </c>
      <c r="O114" s="128">
        <f t="shared" si="27"/>
        <v>1</v>
      </c>
      <c r="P114" s="227">
        <f t="shared" si="18"/>
        <v>8</v>
      </c>
      <c r="Q114" s="229" cm="1">
        <f t="array" ref="Q114">SUMPRODUCT((H_tblBGTage=I114)*(H_tblBGMnt=E114)*H_tblBG%)</f>
        <v>1</v>
      </c>
      <c r="R114" s="227">
        <f t="shared" si="28"/>
        <v>8</v>
      </c>
      <c r="S114" s="233"/>
      <c r="T114" s="233"/>
      <c r="U114" s="232" cm="1">
        <f t="array" ref="U114">SUMPRODUCT((AVR!M_Verweiszeile=$H114)*AVR!M_ProdTag*(AVR!M_Monat=$E114))</f>
        <v>0</v>
      </c>
      <c r="V114" s="232" cm="1">
        <f t="array" ref="V114">SUMPRODUCT((AVR!M_Verweiszeile=$H114)*AVR!M_ProdN1*(AVR!M_Monat=$E114))</f>
        <v>0</v>
      </c>
      <c r="W114" s="232" cm="1">
        <f t="array" ref="W114">SUMPRODUCT((AVR!M_Verweiszeile=$H114)*AVR!M_ProdN2*(AVR!M_Monat=$E114))</f>
        <v>0</v>
      </c>
      <c r="X114" s="232" cm="1">
        <f t="array" ref="X114">SUMPRODUCT((AVR!M_Verweiszeile=$H114)*AVR!M_Reise*(AVR!M_Monat=$E114))</f>
        <v>0</v>
      </c>
      <c r="Y114" s="232" cm="1">
        <f t="array" ref="Y114">SUMPRODUCT((AVR!M_Verweiszeile=$H114)*AVR!M_Reiseabzug*(AVR!M_Monat=$E114))</f>
        <v>0</v>
      </c>
      <c r="Z114" s="232">
        <f t="shared" si="29"/>
        <v>0</v>
      </c>
      <c r="AA114" s="232">
        <f t="shared" si="19"/>
        <v>0</v>
      </c>
      <c r="AB114" s="232">
        <f t="shared" si="20"/>
        <v>0</v>
      </c>
      <c r="AC114" s="232">
        <f t="shared" si="30"/>
        <v>0</v>
      </c>
      <c r="AD114" s="232">
        <f t="shared" si="31"/>
        <v>0</v>
      </c>
      <c r="AE114" s="232">
        <f t="shared" si="32"/>
        <v>0</v>
      </c>
    </row>
    <row r="115" spans="3:31" x14ac:dyDescent="0.2">
      <c r="C115" s="128">
        <v>106</v>
      </c>
      <c r="D115" s="186">
        <f t="shared" si="33"/>
        <v>46128</v>
      </c>
      <c r="E115" s="128">
        <f t="shared" si="21"/>
        <v>4</v>
      </c>
      <c r="F115" s="187">
        <f t="shared" si="22"/>
        <v>46128</v>
      </c>
      <c r="G115" s="128">
        <f t="shared" si="23"/>
        <v>16</v>
      </c>
      <c r="H115" s="128">
        <f t="shared" si="24"/>
        <v>16</v>
      </c>
      <c r="I115" s="128">
        <f t="shared" si="25"/>
        <v>4</v>
      </c>
      <c r="J115" s="188">
        <f t="shared" si="26"/>
        <v>46128</v>
      </c>
      <c r="K115" s="128" t="str" cm="1">
        <f t="array" ref="K115">IF(AND(I115&lt;7,INDEX(B_tblFTMatrix,$E115,$H115)="x"),"ft","")</f>
        <v/>
      </c>
      <c r="L115" s="128"/>
      <c r="M115" s="128"/>
      <c r="N115" s="128">
        <f t="shared" si="17"/>
        <v>1</v>
      </c>
      <c r="O115" s="128">
        <f t="shared" si="27"/>
        <v>1</v>
      </c>
      <c r="P115" s="227">
        <f t="shared" si="18"/>
        <v>8</v>
      </c>
      <c r="Q115" s="229" cm="1">
        <f t="array" ref="Q115">SUMPRODUCT((H_tblBGTage=I115)*(H_tblBGMnt=E115)*H_tblBG%)</f>
        <v>1</v>
      </c>
      <c r="R115" s="227">
        <f t="shared" si="28"/>
        <v>8</v>
      </c>
      <c r="S115" s="233"/>
      <c r="T115" s="233"/>
      <c r="U115" s="232" cm="1">
        <f t="array" ref="U115">SUMPRODUCT((AVR!M_Verweiszeile=$H115)*AVR!M_ProdTag*(AVR!M_Monat=$E115))</f>
        <v>0</v>
      </c>
      <c r="V115" s="232" cm="1">
        <f t="array" ref="V115">SUMPRODUCT((AVR!M_Verweiszeile=$H115)*AVR!M_ProdN1*(AVR!M_Monat=$E115))</f>
        <v>0</v>
      </c>
      <c r="W115" s="232" cm="1">
        <f t="array" ref="W115">SUMPRODUCT((AVR!M_Verweiszeile=$H115)*AVR!M_ProdN2*(AVR!M_Monat=$E115))</f>
        <v>0</v>
      </c>
      <c r="X115" s="232" cm="1">
        <f t="array" ref="X115">SUMPRODUCT((AVR!M_Verweiszeile=$H115)*AVR!M_Reise*(AVR!M_Monat=$E115))</f>
        <v>0</v>
      </c>
      <c r="Y115" s="232" cm="1">
        <f t="array" ref="Y115">SUMPRODUCT((AVR!M_Verweiszeile=$H115)*AVR!M_Reiseabzug*(AVR!M_Monat=$E115))</f>
        <v>0</v>
      </c>
      <c r="Z115" s="232">
        <f t="shared" si="29"/>
        <v>0</v>
      </c>
      <c r="AA115" s="232">
        <f t="shared" si="19"/>
        <v>0</v>
      </c>
      <c r="AB115" s="232">
        <f t="shared" si="20"/>
        <v>0</v>
      </c>
      <c r="AC115" s="232">
        <f t="shared" si="30"/>
        <v>0</v>
      </c>
      <c r="AD115" s="232">
        <f t="shared" si="31"/>
        <v>0</v>
      </c>
      <c r="AE115" s="232">
        <f t="shared" si="32"/>
        <v>0</v>
      </c>
    </row>
    <row r="116" spans="3:31" x14ac:dyDescent="0.2">
      <c r="C116" s="128">
        <v>107</v>
      </c>
      <c r="D116" s="186">
        <f t="shared" si="33"/>
        <v>46129</v>
      </c>
      <c r="E116" s="128">
        <f t="shared" si="21"/>
        <v>4</v>
      </c>
      <c r="F116" s="187">
        <f t="shared" si="22"/>
        <v>46129</v>
      </c>
      <c r="G116" s="128">
        <f t="shared" si="23"/>
        <v>16</v>
      </c>
      <c r="H116" s="128">
        <f t="shared" si="24"/>
        <v>17</v>
      </c>
      <c r="I116" s="128">
        <f t="shared" si="25"/>
        <v>5</v>
      </c>
      <c r="J116" s="188">
        <f t="shared" si="26"/>
        <v>46129</v>
      </c>
      <c r="K116" s="128" t="str" cm="1">
        <f t="array" ref="K116">IF(AND(I116&lt;7,INDEX(B_tblFTMatrix,$E116,$H116)="x"),"ft","")</f>
        <v/>
      </c>
      <c r="L116" s="128"/>
      <c r="M116" s="128"/>
      <c r="N116" s="128">
        <f t="shared" si="17"/>
        <v>1</v>
      </c>
      <c r="O116" s="128">
        <f t="shared" si="27"/>
        <v>1</v>
      </c>
      <c r="P116" s="227">
        <f t="shared" si="18"/>
        <v>8</v>
      </c>
      <c r="Q116" s="229" cm="1">
        <f t="array" ref="Q116">SUMPRODUCT((H_tblBGTage=I116)*(H_tblBGMnt=E116)*H_tblBG%)</f>
        <v>1</v>
      </c>
      <c r="R116" s="227">
        <f t="shared" si="28"/>
        <v>8</v>
      </c>
      <c r="S116" s="233"/>
      <c r="T116" s="233"/>
      <c r="U116" s="232" cm="1">
        <f t="array" ref="U116">SUMPRODUCT((AVR!M_Verweiszeile=$H116)*AVR!M_ProdTag*(AVR!M_Monat=$E116))</f>
        <v>0</v>
      </c>
      <c r="V116" s="232" cm="1">
        <f t="array" ref="V116">SUMPRODUCT((AVR!M_Verweiszeile=$H116)*AVR!M_ProdN1*(AVR!M_Monat=$E116))</f>
        <v>0</v>
      </c>
      <c r="W116" s="232" cm="1">
        <f t="array" ref="W116">SUMPRODUCT((AVR!M_Verweiszeile=$H116)*AVR!M_ProdN2*(AVR!M_Monat=$E116))</f>
        <v>0</v>
      </c>
      <c r="X116" s="232" cm="1">
        <f t="array" ref="X116">SUMPRODUCT((AVR!M_Verweiszeile=$H116)*AVR!M_Reise*(AVR!M_Monat=$E116))</f>
        <v>0</v>
      </c>
      <c r="Y116" s="232" cm="1">
        <f t="array" ref="Y116">SUMPRODUCT((AVR!M_Verweiszeile=$H116)*AVR!M_Reiseabzug*(AVR!M_Monat=$E116))</f>
        <v>0</v>
      </c>
      <c r="Z116" s="232">
        <f t="shared" si="29"/>
        <v>0</v>
      </c>
      <c r="AA116" s="232">
        <f t="shared" si="19"/>
        <v>0</v>
      </c>
      <c r="AB116" s="232">
        <f t="shared" si="20"/>
        <v>0</v>
      </c>
      <c r="AC116" s="232">
        <f t="shared" si="30"/>
        <v>0</v>
      </c>
      <c r="AD116" s="232">
        <f t="shared" si="31"/>
        <v>0</v>
      </c>
      <c r="AE116" s="232">
        <f t="shared" si="32"/>
        <v>0</v>
      </c>
    </row>
    <row r="117" spans="3:31" x14ac:dyDescent="0.2">
      <c r="C117" s="128">
        <v>108</v>
      </c>
      <c r="D117" s="186">
        <f t="shared" si="33"/>
        <v>46130</v>
      </c>
      <c r="E117" s="128">
        <f t="shared" si="21"/>
        <v>4</v>
      </c>
      <c r="F117" s="187">
        <f t="shared" si="22"/>
        <v>46130</v>
      </c>
      <c r="G117" s="128">
        <f t="shared" si="23"/>
        <v>16</v>
      </c>
      <c r="H117" s="128">
        <f t="shared" si="24"/>
        <v>18</v>
      </c>
      <c r="I117" s="128">
        <f t="shared" si="25"/>
        <v>6</v>
      </c>
      <c r="J117" s="188">
        <f t="shared" si="26"/>
        <v>46130</v>
      </c>
      <c r="K117" s="128" t="str" cm="1">
        <f t="array" ref="K117">IF(AND(I117&lt;7,INDEX(B_tblFTMatrix,$E117,$H117)="x"),"ft","")</f>
        <v/>
      </c>
      <c r="L117" s="128"/>
      <c r="M117" s="128"/>
      <c r="N117" s="128">
        <f t="shared" si="17"/>
        <v>0</v>
      </c>
      <c r="O117" s="128">
        <f t="shared" si="27"/>
        <v>0</v>
      </c>
      <c r="P117" s="227">
        <f t="shared" si="18"/>
        <v>0</v>
      </c>
      <c r="Q117" s="229" cm="1">
        <f t="array" ref="Q117">SUMPRODUCT((H_tblBGTage=I117)*(H_tblBGMnt=E117)*H_tblBG%)</f>
        <v>0</v>
      </c>
      <c r="R117" s="227">
        <f t="shared" si="28"/>
        <v>0</v>
      </c>
      <c r="S117" s="233"/>
      <c r="T117" s="233"/>
      <c r="U117" s="232" cm="1">
        <f t="array" ref="U117">SUMPRODUCT((AVR!M_Verweiszeile=$H117)*AVR!M_ProdTag*(AVR!M_Monat=$E117))</f>
        <v>0</v>
      </c>
      <c r="V117" s="232" cm="1">
        <f t="array" ref="V117">SUMPRODUCT((AVR!M_Verweiszeile=$H117)*AVR!M_ProdN1*(AVR!M_Monat=$E117))</f>
        <v>0</v>
      </c>
      <c r="W117" s="232" cm="1">
        <f t="array" ref="W117">SUMPRODUCT((AVR!M_Verweiszeile=$H117)*AVR!M_ProdN2*(AVR!M_Monat=$E117))</f>
        <v>0</v>
      </c>
      <c r="X117" s="232" cm="1">
        <f t="array" ref="X117">SUMPRODUCT((AVR!M_Verweiszeile=$H117)*AVR!M_Reise*(AVR!M_Monat=$E117))</f>
        <v>0</v>
      </c>
      <c r="Y117" s="232" cm="1">
        <f t="array" ref="Y117">SUMPRODUCT((AVR!M_Verweiszeile=$H117)*AVR!M_Reiseabzug*(AVR!M_Monat=$E117))</f>
        <v>0</v>
      </c>
      <c r="Z117" s="232">
        <f t="shared" si="29"/>
        <v>0</v>
      </c>
      <c r="AA117" s="232">
        <f t="shared" si="19"/>
        <v>0</v>
      </c>
      <c r="AB117" s="232">
        <f t="shared" si="20"/>
        <v>0</v>
      </c>
      <c r="AC117" s="232">
        <f t="shared" si="30"/>
        <v>0</v>
      </c>
      <c r="AD117" s="232">
        <f t="shared" si="31"/>
        <v>0</v>
      </c>
      <c r="AE117" s="232">
        <f t="shared" si="32"/>
        <v>0</v>
      </c>
    </row>
    <row r="118" spans="3:31" x14ac:dyDescent="0.2">
      <c r="C118" s="128">
        <v>109</v>
      </c>
      <c r="D118" s="186">
        <f t="shared" si="33"/>
        <v>46131</v>
      </c>
      <c r="E118" s="128">
        <f t="shared" si="21"/>
        <v>4</v>
      </c>
      <c r="F118" s="187">
        <f t="shared" si="22"/>
        <v>46131</v>
      </c>
      <c r="G118" s="128">
        <f t="shared" si="23"/>
        <v>16</v>
      </c>
      <c r="H118" s="128">
        <f t="shared" si="24"/>
        <v>19</v>
      </c>
      <c r="I118" s="128">
        <f t="shared" si="25"/>
        <v>7</v>
      </c>
      <c r="J118" s="188">
        <f t="shared" si="26"/>
        <v>46131</v>
      </c>
      <c r="K118" s="128" t="str" cm="1">
        <f t="array" ref="K118">IF(AND(I118&lt;7,INDEX(B_tblFTMatrix,$E118,$H118)="x"),"ft","")</f>
        <v/>
      </c>
      <c r="L118" s="128"/>
      <c r="M118" s="128"/>
      <c r="N118" s="128">
        <f t="shared" si="17"/>
        <v>0</v>
      </c>
      <c r="O118" s="128">
        <f t="shared" si="27"/>
        <v>0</v>
      </c>
      <c r="P118" s="227">
        <f t="shared" si="18"/>
        <v>0</v>
      </c>
      <c r="Q118" s="229" cm="1">
        <f t="array" ref="Q118">SUMPRODUCT((H_tblBGTage=I118)*(H_tblBGMnt=E118)*H_tblBG%)</f>
        <v>0</v>
      </c>
      <c r="R118" s="227">
        <f t="shared" si="28"/>
        <v>0</v>
      </c>
      <c r="S118" s="233"/>
      <c r="T118" s="233"/>
      <c r="U118" s="232" cm="1">
        <f t="array" ref="U118">SUMPRODUCT((AVR!M_Verweiszeile=$H118)*AVR!M_ProdTag*(AVR!M_Monat=$E118))</f>
        <v>0</v>
      </c>
      <c r="V118" s="232" cm="1">
        <f t="array" ref="V118">SUMPRODUCT((AVR!M_Verweiszeile=$H118)*AVR!M_ProdN1*(AVR!M_Monat=$E118))</f>
        <v>0</v>
      </c>
      <c r="W118" s="232" cm="1">
        <f t="array" ref="W118">SUMPRODUCT((AVR!M_Verweiszeile=$H118)*AVR!M_ProdN2*(AVR!M_Monat=$E118))</f>
        <v>0</v>
      </c>
      <c r="X118" s="232" cm="1">
        <f t="array" ref="X118">SUMPRODUCT((AVR!M_Verweiszeile=$H118)*AVR!M_Reise*(AVR!M_Monat=$E118))</f>
        <v>0</v>
      </c>
      <c r="Y118" s="232" cm="1">
        <f t="array" ref="Y118">SUMPRODUCT((AVR!M_Verweiszeile=$H118)*AVR!M_Reiseabzug*(AVR!M_Monat=$E118))</f>
        <v>0</v>
      </c>
      <c r="Z118" s="232">
        <f t="shared" si="29"/>
        <v>0</v>
      </c>
      <c r="AA118" s="232">
        <f t="shared" si="19"/>
        <v>0</v>
      </c>
      <c r="AB118" s="232">
        <f t="shared" si="20"/>
        <v>0</v>
      </c>
      <c r="AC118" s="232">
        <f t="shared" si="30"/>
        <v>0</v>
      </c>
      <c r="AD118" s="232">
        <f t="shared" si="31"/>
        <v>0</v>
      </c>
      <c r="AE118" s="232">
        <f t="shared" si="32"/>
        <v>0</v>
      </c>
    </row>
    <row r="119" spans="3:31" x14ac:dyDescent="0.2">
      <c r="C119" s="128">
        <v>110</v>
      </c>
      <c r="D119" s="186">
        <f t="shared" si="33"/>
        <v>46132</v>
      </c>
      <c r="E119" s="128">
        <f t="shared" si="21"/>
        <v>4</v>
      </c>
      <c r="F119" s="187">
        <f t="shared" si="22"/>
        <v>46132</v>
      </c>
      <c r="G119" s="128">
        <f t="shared" si="23"/>
        <v>17</v>
      </c>
      <c r="H119" s="128">
        <f t="shared" si="24"/>
        <v>20</v>
      </c>
      <c r="I119" s="128">
        <f t="shared" si="25"/>
        <v>1</v>
      </c>
      <c r="J119" s="188">
        <f t="shared" si="26"/>
        <v>46132</v>
      </c>
      <c r="K119" s="128" t="str" cm="1">
        <f t="array" ref="K119">IF(AND(I119&lt;7,INDEX(B_tblFTMatrix,$E119,$H119)="x"),"ft","")</f>
        <v/>
      </c>
      <c r="L119" s="128"/>
      <c r="M119" s="128"/>
      <c r="N119" s="128">
        <f t="shared" si="17"/>
        <v>1</v>
      </c>
      <c r="O119" s="128">
        <f t="shared" si="27"/>
        <v>1</v>
      </c>
      <c r="P119" s="227">
        <f t="shared" si="18"/>
        <v>8</v>
      </c>
      <c r="Q119" s="229" cm="1">
        <f t="array" ref="Q119">SUMPRODUCT((H_tblBGTage=I119)*(H_tblBGMnt=E119)*H_tblBG%)</f>
        <v>1</v>
      </c>
      <c r="R119" s="227">
        <f t="shared" si="28"/>
        <v>8</v>
      </c>
      <c r="S119" s="233"/>
      <c r="T119" s="233"/>
      <c r="U119" s="232" cm="1">
        <f t="array" ref="U119">SUMPRODUCT((AVR!M_Verweiszeile=$H119)*AVR!M_ProdTag*(AVR!M_Monat=$E119))</f>
        <v>0</v>
      </c>
      <c r="V119" s="232" cm="1">
        <f t="array" ref="V119">SUMPRODUCT((AVR!M_Verweiszeile=$H119)*AVR!M_ProdN1*(AVR!M_Monat=$E119))</f>
        <v>0</v>
      </c>
      <c r="W119" s="232" cm="1">
        <f t="array" ref="W119">SUMPRODUCT((AVR!M_Verweiszeile=$H119)*AVR!M_ProdN2*(AVR!M_Monat=$E119))</f>
        <v>0</v>
      </c>
      <c r="X119" s="232" cm="1">
        <f t="array" ref="X119">SUMPRODUCT((AVR!M_Verweiszeile=$H119)*AVR!M_Reise*(AVR!M_Monat=$E119))</f>
        <v>0</v>
      </c>
      <c r="Y119" s="232" cm="1">
        <f t="array" ref="Y119">SUMPRODUCT((AVR!M_Verweiszeile=$H119)*AVR!M_Reiseabzug*(AVR!M_Monat=$E119))</f>
        <v>0</v>
      </c>
      <c r="Z119" s="232">
        <f t="shared" si="29"/>
        <v>0</v>
      </c>
      <c r="AA119" s="232">
        <f t="shared" si="19"/>
        <v>0</v>
      </c>
      <c r="AB119" s="232">
        <f t="shared" si="20"/>
        <v>0</v>
      </c>
      <c r="AC119" s="232">
        <f t="shared" si="30"/>
        <v>0</v>
      </c>
      <c r="AD119" s="232">
        <f t="shared" si="31"/>
        <v>0</v>
      </c>
      <c r="AE119" s="232">
        <f t="shared" si="32"/>
        <v>0</v>
      </c>
    </row>
    <row r="120" spans="3:31" x14ac:dyDescent="0.2">
      <c r="C120" s="128">
        <v>111</v>
      </c>
      <c r="D120" s="186">
        <f t="shared" si="33"/>
        <v>46133</v>
      </c>
      <c r="E120" s="128">
        <f t="shared" si="21"/>
        <v>4</v>
      </c>
      <c r="F120" s="187">
        <f t="shared" si="22"/>
        <v>46133</v>
      </c>
      <c r="G120" s="128">
        <f t="shared" si="23"/>
        <v>17</v>
      </c>
      <c r="H120" s="128">
        <f t="shared" si="24"/>
        <v>21</v>
      </c>
      <c r="I120" s="128">
        <f t="shared" si="25"/>
        <v>2</v>
      </c>
      <c r="J120" s="188">
        <f t="shared" si="26"/>
        <v>46133</v>
      </c>
      <c r="K120" s="128" t="str" cm="1">
        <f t="array" ref="K120">IF(AND(I120&lt;7,INDEX(B_tblFTMatrix,$E120,$H120)="x"),"ft","")</f>
        <v/>
      </c>
      <c r="L120" s="128"/>
      <c r="M120" s="128"/>
      <c r="N120" s="128">
        <f t="shared" si="17"/>
        <v>1</v>
      </c>
      <c r="O120" s="128">
        <f t="shared" si="27"/>
        <v>1</v>
      </c>
      <c r="P120" s="227">
        <f t="shared" si="18"/>
        <v>8</v>
      </c>
      <c r="Q120" s="229" cm="1">
        <f t="array" ref="Q120">SUMPRODUCT((H_tblBGTage=I120)*(H_tblBGMnt=E120)*H_tblBG%)</f>
        <v>1</v>
      </c>
      <c r="R120" s="227">
        <f t="shared" si="28"/>
        <v>8</v>
      </c>
      <c r="S120" s="233"/>
      <c r="T120" s="233"/>
      <c r="U120" s="232" cm="1">
        <f t="array" ref="U120">SUMPRODUCT((AVR!M_Verweiszeile=$H120)*AVR!M_ProdTag*(AVR!M_Monat=$E120))</f>
        <v>0</v>
      </c>
      <c r="V120" s="232" cm="1">
        <f t="array" ref="V120">SUMPRODUCT((AVR!M_Verweiszeile=$H120)*AVR!M_ProdN1*(AVR!M_Monat=$E120))</f>
        <v>0</v>
      </c>
      <c r="W120" s="232" cm="1">
        <f t="array" ref="W120">SUMPRODUCT((AVR!M_Verweiszeile=$H120)*AVR!M_ProdN2*(AVR!M_Monat=$E120))</f>
        <v>0</v>
      </c>
      <c r="X120" s="232" cm="1">
        <f t="array" ref="X120">SUMPRODUCT((AVR!M_Verweiszeile=$H120)*AVR!M_Reise*(AVR!M_Monat=$E120))</f>
        <v>0</v>
      </c>
      <c r="Y120" s="232" cm="1">
        <f t="array" ref="Y120">SUMPRODUCT((AVR!M_Verweiszeile=$H120)*AVR!M_Reiseabzug*(AVR!M_Monat=$E120))</f>
        <v>0</v>
      </c>
      <c r="Z120" s="232">
        <f t="shared" si="29"/>
        <v>0</v>
      </c>
      <c r="AA120" s="232">
        <f t="shared" si="19"/>
        <v>0</v>
      </c>
      <c r="AB120" s="232">
        <f t="shared" si="20"/>
        <v>0</v>
      </c>
      <c r="AC120" s="232">
        <f t="shared" si="30"/>
        <v>0</v>
      </c>
      <c r="AD120" s="232">
        <f t="shared" si="31"/>
        <v>0</v>
      </c>
      <c r="AE120" s="232">
        <f t="shared" si="32"/>
        <v>0</v>
      </c>
    </row>
    <row r="121" spans="3:31" x14ac:dyDescent="0.2">
      <c r="C121" s="128">
        <v>112</v>
      </c>
      <c r="D121" s="186">
        <f t="shared" si="33"/>
        <v>46134</v>
      </c>
      <c r="E121" s="128">
        <f t="shared" si="21"/>
        <v>4</v>
      </c>
      <c r="F121" s="187">
        <f t="shared" si="22"/>
        <v>46134</v>
      </c>
      <c r="G121" s="128">
        <f t="shared" si="23"/>
        <v>17</v>
      </c>
      <c r="H121" s="128">
        <f t="shared" si="24"/>
        <v>22</v>
      </c>
      <c r="I121" s="128">
        <f t="shared" si="25"/>
        <v>3</v>
      </c>
      <c r="J121" s="188">
        <f t="shared" si="26"/>
        <v>46134</v>
      </c>
      <c r="K121" s="128" t="str" cm="1">
        <f t="array" ref="K121">IF(AND(I121&lt;7,INDEX(B_tblFTMatrix,$E121,$H121)="x"),"ft","")</f>
        <v/>
      </c>
      <c r="L121" s="128"/>
      <c r="M121" s="128"/>
      <c r="N121" s="128">
        <f t="shared" si="17"/>
        <v>1</v>
      </c>
      <c r="O121" s="128">
        <f t="shared" si="27"/>
        <v>1</v>
      </c>
      <c r="P121" s="227">
        <f t="shared" si="18"/>
        <v>8</v>
      </c>
      <c r="Q121" s="229" cm="1">
        <f t="array" ref="Q121">SUMPRODUCT((H_tblBGTage=I121)*(H_tblBGMnt=E121)*H_tblBG%)</f>
        <v>1</v>
      </c>
      <c r="R121" s="227">
        <f t="shared" si="28"/>
        <v>8</v>
      </c>
      <c r="S121" s="233"/>
      <c r="T121" s="233"/>
      <c r="U121" s="232" cm="1">
        <f t="array" ref="U121">SUMPRODUCT((AVR!M_Verweiszeile=$H121)*AVR!M_ProdTag*(AVR!M_Monat=$E121))</f>
        <v>0</v>
      </c>
      <c r="V121" s="232" cm="1">
        <f t="array" ref="V121">SUMPRODUCT((AVR!M_Verweiszeile=$H121)*AVR!M_ProdN1*(AVR!M_Monat=$E121))</f>
        <v>0</v>
      </c>
      <c r="W121" s="232" cm="1">
        <f t="array" ref="W121">SUMPRODUCT((AVR!M_Verweiszeile=$H121)*AVR!M_ProdN2*(AVR!M_Monat=$E121))</f>
        <v>0</v>
      </c>
      <c r="X121" s="232" cm="1">
        <f t="array" ref="X121">SUMPRODUCT((AVR!M_Verweiszeile=$H121)*AVR!M_Reise*(AVR!M_Monat=$E121))</f>
        <v>0</v>
      </c>
      <c r="Y121" s="232" cm="1">
        <f t="array" ref="Y121">SUMPRODUCT((AVR!M_Verweiszeile=$H121)*AVR!M_Reiseabzug*(AVR!M_Monat=$E121))</f>
        <v>0</v>
      </c>
      <c r="Z121" s="232">
        <f t="shared" si="29"/>
        <v>0</v>
      </c>
      <c r="AA121" s="232">
        <f t="shared" si="19"/>
        <v>0</v>
      </c>
      <c r="AB121" s="232">
        <f t="shared" si="20"/>
        <v>0</v>
      </c>
      <c r="AC121" s="232">
        <f t="shared" si="30"/>
        <v>0</v>
      </c>
      <c r="AD121" s="232">
        <f t="shared" si="31"/>
        <v>0</v>
      </c>
      <c r="AE121" s="232">
        <f t="shared" si="32"/>
        <v>0</v>
      </c>
    </row>
    <row r="122" spans="3:31" x14ac:dyDescent="0.2">
      <c r="C122" s="128">
        <v>113</v>
      </c>
      <c r="D122" s="186">
        <f t="shared" si="33"/>
        <v>46135</v>
      </c>
      <c r="E122" s="128">
        <f t="shared" si="21"/>
        <v>4</v>
      </c>
      <c r="F122" s="187">
        <f t="shared" si="22"/>
        <v>46135</v>
      </c>
      <c r="G122" s="128">
        <f t="shared" si="23"/>
        <v>17</v>
      </c>
      <c r="H122" s="128">
        <f t="shared" si="24"/>
        <v>23</v>
      </c>
      <c r="I122" s="128">
        <f t="shared" si="25"/>
        <v>4</v>
      </c>
      <c r="J122" s="188">
        <f t="shared" si="26"/>
        <v>46135</v>
      </c>
      <c r="K122" s="128" t="str" cm="1">
        <f t="array" ref="K122">IF(AND(I122&lt;7,INDEX(B_tblFTMatrix,$E122,$H122)="x"),"ft","")</f>
        <v/>
      </c>
      <c r="L122" s="128"/>
      <c r="M122" s="128"/>
      <c r="N122" s="128">
        <f t="shared" si="17"/>
        <v>1</v>
      </c>
      <c r="O122" s="128">
        <f t="shared" si="27"/>
        <v>1</v>
      </c>
      <c r="P122" s="227">
        <f t="shared" si="18"/>
        <v>8</v>
      </c>
      <c r="Q122" s="229" cm="1">
        <f t="array" ref="Q122">SUMPRODUCT((H_tblBGTage=I122)*(H_tblBGMnt=E122)*H_tblBG%)</f>
        <v>1</v>
      </c>
      <c r="R122" s="227">
        <f t="shared" si="28"/>
        <v>8</v>
      </c>
      <c r="S122" s="233"/>
      <c r="T122" s="233"/>
      <c r="U122" s="232" cm="1">
        <f t="array" ref="U122">SUMPRODUCT((AVR!M_Verweiszeile=$H122)*AVR!M_ProdTag*(AVR!M_Monat=$E122))</f>
        <v>0</v>
      </c>
      <c r="V122" s="232" cm="1">
        <f t="array" ref="V122">SUMPRODUCT((AVR!M_Verweiszeile=$H122)*AVR!M_ProdN1*(AVR!M_Monat=$E122))</f>
        <v>0</v>
      </c>
      <c r="W122" s="232" cm="1">
        <f t="array" ref="W122">SUMPRODUCT((AVR!M_Verweiszeile=$H122)*AVR!M_ProdN2*(AVR!M_Monat=$E122))</f>
        <v>0</v>
      </c>
      <c r="X122" s="232" cm="1">
        <f t="array" ref="X122">SUMPRODUCT((AVR!M_Verweiszeile=$H122)*AVR!M_Reise*(AVR!M_Monat=$E122))</f>
        <v>0</v>
      </c>
      <c r="Y122" s="232" cm="1">
        <f t="array" ref="Y122">SUMPRODUCT((AVR!M_Verweiszeile=$H122)*AVR!M_Reiseabzug*(AVR!M_Monat=$E122))</f>
        <v>0</v>
      </c>
      <c r="Z122" s="232">
        <f t="shared" si="29"/>
        <v>0</v>
      </c>
      <c r="AA122" s="232">
        <f t="shared" si="19"/>
        <v>0</v>
      </c>
      <c r="AB122" s="232">
        <f t="shared" si="20"/>
        <v>0</v>
      </c>
      <c r="AC122" s="232">
        <f t="shared" si="30"/>
        <v>0</v>
      </c>
      <c r="AD122" s="232">
        <f t="shared" si="31"/>
        <v>0</v>
      </c>
      <c r="AE122" s="232">
        <f t="shared" si="32"/>
        <v>0</v>
      </c>
    </row>
    <row r="123" spans="3:31" x14ac:dyDescent="0.2">
      <c r="C123" s="128">
        <v>114</v>
      </c>
      <c r="D123" s="186">
        <f t="shared" si="33"/>
        <v>46136</v>
      </c>
      <c r="E123" s="128">
        <f t="shared" si="21"/>
        <v>4</v>
      </c>
      <c r="F123" s="187">
        <f t="shared" si="22"/>
        <v>46136</v>
      </c>
      <c r="G123" s="128">
        <f t="shared" si="23"/>
        <v>17</v>
      </c>
      <c r="H123" s="128">
        <f t="shared" si="24"/>
        <v>24</v>
      </c>
      <c r="I123" s="128">
        <f t="shared" si="25"/>
        <v>5</v>
      </c>
      <c r="J123" s="188">
        <f t="shared" si="26"/>
        <v>46136</v>
      </c>
      <c r="K123" s="128" t="str" cm="1">
        <f t="array" ref="K123">IF(AND(I123&lt;7,INDEX(B_tblFTMatrix,$E123,$H123)="x"),"ft","")</f>
        <v/>
      </c>
      <c r="L123" s="128"/>
      <c r="M123" s="128"/>
      <c r="N123" s="128">
        <f t="shared" si="17"/>
        <v>1</v>
      </c>
      <c r="O123" s="128">
        <f t="shared" si="27"/>
        <v>1</v>
      </c>
      <c r="P123" s="227">
        <f t="shared" si="18"/>
        <v>8</v>
      </c>
      <c r="Q123" s="229" cm="1">
        <f t="array" ref="Q123">SUMPRODUCT((H_tblBGTage=I123)*(H_tblBGMnt=E123)*H_tblBG%)</f>
        <v>1</v>
      </c>
      <c r="R123" s="227">
        <f t="shared" si="28"/>
        <v>8</v>
      </c>
      <c r="S123" s="233"/>
      <c r="T123" s="233"/>
      <c r="U123" s="232" cm="1">
        <f t="array" ref="U123">SUMPRODUCT((AVR!M_Verweiszeile=$H123)*AVR!M_ProdTag*(AVR!M_Monat=$E123))</f>
        <v>0</v>
      </c>
      <c r="V123" s="232" cm="1">
        <f t="array" ref="V123">SUMPRODUCT((AVR!M_Verweiszeile=$H123)*AVR!M_ProdN1*(AVR!M_Monat=$E123))</f>
        <v>0</v>
      </c>
      <c r="W123" s="232" cm="1">
        <f t="array" ref="W123">SUMPRODUCT((AVR!M_Verweiszeile=$H123)*AVR!M_ProdN2*(AVR!M_Monat=$E123))</f>
        <v>0</v>
      </c>
      <c r="X123" s="232" cm="1">
        <f t="array" ref="X123">SUMPRODUCT((AVR!M_Verweiszeile=$H123)*AVR!M_Reise*(AVR!M_Monat=$E123))</f>
        <v>0</v>
      </c>
      <c r="Y123" s="232" cm="1">
        <f t="array" ref="Y123">SUMPRODUCT((AVR!M_Verweiszeile=$H123)*AVR!M_Reiseabzug*(AVR!M_Monat=$E123))</f>
        <v>0</v>
      </c>
      <c r="Z123" s="232">
        <f t="shared" si="29"/>
        <v>0</v>
      </c>
      <c r="AA123" s="232">
        <f t="shared" si="19"/>
        <v>0</v>
      </c>
      <c r="AB123" s="232">
        <f t="shared" si="20"/>
        <v>0</v>
      </c>
      <c r="AC123" s="232">
        <f t="shared" si="30"/>
        <v>0</v>
      </c>
      <c r="AD123" s="232">
        <f t="shared" si="31"/>
        <v>0</v>
      </c>
      <c r="AE123" s="232">
        <f t="shared" si="32"/>
        <v>0</v>
      </c>
    </row>
    <row r="124" spans="3:31" x14ac:dyDescent="0.2">
      <c r="C124" s="128">
        <v>115</v>
      </c>
      <c r="D124" s="186">
        <f t="shared" si="33"/>
        <v>46137</v>
      </c>
      <c r="E124" s="128">
        <f t="shared" si="21"/>
        <v>4</v>
      </c>
      <c r="F124" s="187">
        <f t="shared" si="22"/>
        <v>46137</v>
      </c>
      <c r="G124" s="128">
        <f t="shared" si="23"/>
        <v>17</v>
      </c>
      <c r="H124" s="128">
        <f t="shared" si="24"/>
        <v>25</v>
      </c>
      <c r="I124" s="128">
        <f t="shared" si="25"/>
        <v>6</v>
      </c>
      <c r="J124" s="188">
        <f t="shared" si="26"/>
        <v>46137</v>
      </c>
      <c r="K124" s="128" t="str" cm="1">
        <f t="array" ref="K124">IF(AND(I124&lt;7,INDEX(B_tblFTMatrix,$E124,$H124)="x"),"ft","")</f>
        <v/>
      </c>
      <c r="L124" s="128"/>
      <c r="M124" s="128"/>
      <c r="N124" s="128">
        <f t="shared" si="17"/>
        <v>0</v>
      </c>
      <c r="O124" s="128">
        <f t="shared" si="27"/>
        <v>0</v>
      </c>
      <c r="P124" s="227">
        <f t="shared" si="18"/>
        <v>0</v>
      </c>
      <c r="Q124" s="229" cm="1">
        <f t="array" ref="Q124">SUMPRODUCT((H_tblBGTage=I124)*(H_tblBGMnt=E124)*H_tblBG%)</f>
        <v>0</v>
      </c>
      <c r="R124" s="227">
        <f t="shared" si="28"/>
        <v>0</v>
      </c>
      <c r="S124" s="233"/>
      <c r="T124" s="233"/>
      <c r="U124" s="232" cm="1">
        <f t="array" ref="U124">SUMPRODUCT((AVR!M_Verweiszeile=$H124)*AVR!M_ProdTag*(AVR!M_Monat=$E124))</f>
        <v>0</v>
      </c>
      <c r="V124" s="232" cm="1">
        <f t="array" ref="V124">SUMPRODUCT((AVR!M_Verweiszeile=$H124)*AVR!M_ProdN1*(AVR!M_Monat=$E124))</f>
        <v>0</v>
      </c>
      <c r="W124" s="232" cm="1">
        <f t="array" ref="W124">SUMPRODUCT((AVR!M_Verweiszeile=$H124)*AVR!M_ProdN2*(AVR!M_Monat=$E124))</f>
        <v>0</v>
      </c>
      <c r="X124" s="232" cm="1">
        <f t="array" ref="X124">SUMPRODUCT((AVR!M_Verweiszeile=$H124)*AVR!M_Reise*(AVR!M_Monat=$E124))</f>
        <v>0</v>
      </c>
      <c r="Y124" s="232" cm="1">
        <f t="array" ref="Y124">SUMPRODUCT((AVR!M_Verweiszeile=$H124)*AVR!M_Reiseabzug*(AVR!M_Monat=$E124))</f>
        <v>0</v>
      </c>
      <c r="Z124" s="232">
        <f t="shared" si="29"/>
        <v>0</v>
      </c>
      <c r="AA124" s="232">
        <f t="shared" si="19"/>
        <v>0</v>
      </c>
      <c r="AB124" s="232">
        <f t="shared" si="20"/>
        <v>0</v>
      </c>
      <c r="AC124" s="232">
        <f t="shared" si="30"/>
        <v>0</v>
      </c>
      <c r="AD124" s="232">
        <f t="shared" si="31"/>
        <v>0</v>
      </c>
      <c r="AE124" s="232">
        <f t="shared" si="32"/>
        <v>0</v>
      </c>
    </row>
    <row r="125" spans="3:31" x14ac:dyDescent="0.2">
      <c r="C125" s="128">
        <v>116</v>
      </c>
      <c r="D125" s="186">
        <f t="shared" si="33"/>
        <v>46138</v>
      </c>
      <c r="E125" s="128">
        <f t="shared" si="21"/>
        <v>4</v>
      </c>
      <c r="F125" s="187">
        <f t="shared" si="22"/>
        <v>46138</v>
      </c>
      <c r="G125" s="128">
        <f t="shared" si="23"/>
        <v>17</v>
      </c>
      <c r="H125" s="128">
        <f t="shared" si="24"/>
        <v>26</v>
      </c>
      <c r="I125" s="128">
        <f t="shared" si="25"/>
        <v>7</v>
      </c>
      <c r="J125" s="188">
        <f t="shared" si="26"/>
        <v>46138</v>
      </c>
      <c r="K125" s="128" t="str" cm="1">
        <f t="array" ref="K125">IF(AND(I125&lt;7,INDEX(B_tblFTMatrix,$E125,$H125)="x"),"ft","")</f>
        <v/>
      </c>
      <c r="L125" s="128"/>
      <c r="M125" s="128"/>
      <c r="N125" s="128">
        <f t="shared" si="17"/>
        <v>0</v>
      </c>
      <c r="O125" s="128">
        <f t="shared" si="27"/>
        <v>0</v>
      </c>
      <c r="P125" s="227">
        <f t="shared" si="18"/>
        <v>0</v>
      </c>
      <c r="Q125" s="229" cm="1">
        <f t="array" ref="Q125">SUMPRODUCT((H_tblBGTage=I125)*(H_tblBGMnt=E125)*H_tblBG%)</f>
        <v>0</v>
      </c>
      <c r="R125" s="227">
        <f t="shared" si="28"/>
        <v>0</v>
      </c>
      <c r="S125" s="233"/>
      <c r="T125" s="233"/>
      <c r="U125" s="232" cm="1">
        <f t="array" ref="U125">SUMPRODUCT((AVR!M_Verweiszeile=$H125)*AVR!M_ProdTag*(AVR!M_Monat=$E125))</f>
        <v>0</v>
      </c>
      <c r="V125" s="232" cm="1">
        <f t="array" ref="V125">SUMPRODUCT((AVR!M_Verweiszeile=$H125)*AVR!M_ProdN1*(AVR!M_Monat=$E125))</f>
        <v>0</v>
      </c>
      <c r="W125" s="232" cm="1">
        <f t="array" ref="W125">SUMPRODUCT((AVR!M_Verweiszeile=$H125)*AVR!M_ProdN2*(AVR!M_Monat=$E125))</f>
        <v>0</v>
      </c>
      <c r="X125" s="232" cm="1">
        <f t="array" ref="X125">SUMPRODUCT((AVR!M_Verweiszeile=$H125)*AVR!M_Reise*(AVR!M_Monat=$E125))</f>
        <v>0</v>
      </c>
      <c r="Y125" s="232" cm="1">
        <f t="array" ref="Y125">SUMPRODUCT((AVR!M_Verweiszeile=$H125)*AVR!M_Reiseabzug*(AVR!M_Monat=$E125))</f>
        <v>0</v>
      </c>
      <c r="Z125" s="232">
        <f t="shared" si="29"/>
        <v>0</v>
      </c>
      <c r="AA125" s="232">
        <f t="shared" si="19"/>
        <v>0</v>
      </c>
      <c r="AB125" s="232">
        <f t="shared" si="20"/>
        <v>0</v>
      </c>
      <c r="AC125" s="232">
        <f t="shared" si="30"/>
        <v>0</v>
      </c>
      <c r="AD125" s="232">
        <f t="shared" si="31"/>
        <v>0</v>
      </c>
      <c r="AE125" s="232">
        <f t="shared" si="32"/>
        <v>0</v>
      </c>
    </row>
    <row r="126" spans="3:31" x14ac:dyDescent="0.2">
      <c r="C126" s="128">
        <v>117</v>
      </c>
      <c r="D126" s="186">
        <f t="shared" si="33"/>
        <v>46139</v>
      </c>
      <c r="E126" s="128">
        <f t="shared" si="21"/>
        <v>4</v>
      </c>
      <c r="F126" s="187">
        <f t="shared" si="22"/>
        <v>46139</v>
      </c>
      <c r="G126" s="128">
        <f t="shared" si="23"/>
        <v>18</v>
      </c>
      <c r="H126" s="128">
        <f t="shared" si="24"/>
        <v>27</v>
      </c>
      <c r="I126" s="128">
        <f t="shared" si="25"/>
        <v>1</v>
      </c>
      <c r="J126" s="188">
        <f t="shared" si="26"/>
        <v>46139</v>
      </c>
      <c r="K126" s="128" t="str" cm="1">
        <f t="array" ref="K126">IF(AND(I126&lt;7,INDEX(B_tblFTMatrix,$E126,$H126)="x"),"ft","")</f>
        <v/>
      </c>
      <c r="L126" s="128"/>
      <c r="M126" s="128"/>
      <c r="N126" s="128">
        <f t="shared" si="17"/>
        <v>1</v>
      </c>
      <c r="O126" s="128">
        <f t="shared" si="27"/>
        <v>1</v>
      </c>
      <c r="P126" s="227">
        <f t="shared" si="18"/>
        <v>8</v>
      </c>
      <c r="Q126" s="229" cm="1">
        <f t="array" ref="Q126">SUMPRODUCT((H_tblBGTage=I126)*(H_tblBGMnt=E126)*H_tblBG%)</f>
        <v>1</v>
      </c>
      <c r="R126" s="227">
        <f t="shared" si="28"/>
        <v>8</v>
      </c>
      <c r="S126" s="233"/>
      <c r="T126" s="233"/>
      <c r="U126" s="232" cm="1">
        <f t="array" ref="U126">SUMPRODUCT((AVR!M_Verweiszeile=$H126)*AVR!M_ProdTag*(AVR!M_Monat=$E126))</f>
        <v>0</v>
      </c>
      <c r="V126" s="232" cm="1">
        <f t="array" ref="V126">SUMPRODUCT((AVR!M_Verweiszeile=$H126)*AVR!M_ProdN1*(AVR!M_Monat=$E126))</f>
        <v>0</v>
      </c>
      <c r="W126" s="232" cm="1">
        <f t="array" ref="W126">SUMPRODUCT((AVR!M_Verweiszeile=$H126)*AVR!M_ProdN2*(AVR!M_Monat=$E126))</f>
        <v>0</v>
      </c>
      <c r="X126" s="232" cm="1">
        <f t="array" ref="X126">SUMPRODUCT((AVR!M_Verweiszeile=$H126)*AVR!M_Reise*(AVR!M_Monat=$E126))</f>
        <v>0</v>
      </c>
      <c r="Y126" s="232" cm="1">
        <f t="array" ref="Y126">SUMPRODUCT((AVR!M_Verweiszeile=$H126)*AVR!M_Reiseabzug*(AVR!M_Monat=$E126))</f>
        <v>0</v>
      </c>
      <c r="Z126" s="232">
        <f t="shared" si="29"/>
        <v>0</v>
      </c>
      <c r="AA126" s="232">
        <f t="shared" si="19"/>
        <v>0</v>
      </c>
      <c r="AB126" s="232">
        <f t="shared" si="20"/>
        <v>0</v>
      </c>
      <c r="AC126" s="232">
        <f t="shared" si="30"/>
        <v>0</v>
      </c>
      <c r="AD126" s="232">
        <f t="shared" si="31"/>
        <v>0</v>
      </c>
      <c r="AE126" s="232">
        <f t="shared" si="32"/>
        <v>0</v>
      </c>
    </row>
    <row r="127" spans="3:31" x14ac:dyDescent="0.2">
      <c r="C127" s="128">
        <v>118</v>
      </c>
      <c r="D127" s="186">
        <f t="shared" si="33"/>
        <v>46140</v>
      </c>
      <c r="E127" s="128">
        <f t="shared" si="21"/>
        <v>4</v>
      </c>
      <c r="F127" s="187">
        <f t="shared" si="22"/>
        <v>46140</v>
      </c>
      <c r="G127" s="128">
        <f t="shared" si="23"/>
        <v>18</v>
      </c>
      <c r="H127" s="128">
        <f t="shared" si="24"/>
        <v>28</v>
      </c>
      <c r="I127" s="128">
        <f t="shared" si="25"/>
        <v>2</v>
      </c>
      <c r="J127" s="188">
        <f t="shared" si="26"/>
        <v>46140</v>
      </c>
      <c r="K127" s="128" t="str" cm="1">
        <f t="array" ref="K127">IF(AND(I127&lt;7,INDEX(B_tblFTMatrix,$E127,$H127)="x"),"ft","")</f>
        <v/>
      </c>
      <c r="L127" s="128"/>
      <c r="M127" s="128"/>
      <c r="N127" s="128">
        <f t="shared" si="17"/>
        <v>1</v>
      </c>
      <c r="O127" s="128">
        <f t="shared" si="27"/>
        <v>1</v>
      </c>
      <c r="P127" s="227">
        <f t="shared" si="18"/>
        <v>8</v>
      </c>
      <c r="Q127" s="229" cm="1">
        <f t="array" ref="Q127">SUMPRODUCT((H_tblBGTage=I127)*(H_tblBGMnt=E127)*H_tblBG%)</f>
        <v>1</v>
      </c>
      <c r="R127" s="227">
        <f t="shared" si="28"/>
        <v>8</v>
      </c>
      <c r="S127" s="233"/>
      <c r="T127" s="233"/>
      <c r="U127" s="232" cm="1">
        <f t="array" ref="U127">SUMPRODUCT((AVR!M_Verweiszeile=$H127)*AVR!M_ProdTag*(AVR!M_Monat=$E127))</f>
        <v>0</v>
      </c>
      <c r="V127" s="232" cm="1">
        <f t="array" ref="V127">SUMPRODUCT((AVR!M_Verweiszeile=$H127)*AVR!M_ProdN1*(AVR!M_Monat=$E127))</f>
        <v>0</v>
      </c>
      <c r="W127" s="232" cm="1">
        <f t="array" ref="W127">SUMPRODUCT((AVR!M_Verweiszeile=$H127)*AVR!M_ProdN2*(AVR!M_Monat=$E127))</f>
        <v>0</v>
      </c>
      <c r="X127" s="232" cm="1">
        <f t="array" ref="X127">SUMPRODUCT((AVR!M_Verweiszeile=$H127)*AVR!M_Reise*(AVR!M_Monat=$E127))</f>
        <v>0</v>
      </c>
      <c r="Y127" s="232" cm="1">
        <f t="array" ref="Y127">SUMPRODUCT((AVR!M_Verweiszeile=$H127)*AVR!M_Reiseabzug*(AVR!M_Monat=$E127))</f>
        <v>0</v>
      </c>
      <c r="Z127" s="232">
        <f t="shared" si="29"/>
        <v>0</v>
      </c>
      <c r="AA127" s="232">
        <f t="shared" si="19"/>
        <v>0</v>
      </c>
      <c r="AB127" s="232">
        <f t="shared" si="20"/>
        <v>0</v>
      </c>
      <c r="AC127" s="232">
        <f t="shared" si="30"/>
        <v>0</v>
      </c>
      <c r="AD127" s="232">
        <f t="shared" si="31"/>
        <v>0</v>
      </c>
      <c r="AE127" s="232">
        <f t="shared" si="32"/>
        <v>0</v>
      </c>
    </row>
    <row r="128" spans="3:31" x14ac:dyDescent="0.2">
      <c r="C128" s="128">
        <v>119</v>
      </c>
      <c r="D128" s="186">
        <f t="shared" si="33"/>
        <v>46141</v>
      </c>
      <c r="E128" s="128">
        <f t="shared" si="21"/>
        <v>4</v>
      </c>
      <c r="F128" s="187">
        <f t="shared" si="22"/>
        <v>46141</v>
      </c>
      <c r="G128" s="128">
        <f t="shared" si="23"/>
        <v>18</v>
      </c>
      <c r="H128" s="128">
        <f t="shared" si="24"/>
        <v>29</v>
      </c>
      <c r="I128" s="128">
        <f t="shared" si="25"/>
        <v>3</v>
      </c>
      <c r="J128" s="188">
        <f t="shared" si="26"/>
        <v>46141</v>
      </c>
      <c r="K128" s="128" t="str" cm="1">
        <f t="array" ref="K128">IF(AND(I128&lt;7,INDEX(B_tblFTMatrix,$E128,$H128)="x"),"ft","")</f>
        <v/>
      </c>
      <c r="L128" s="128"/>
      <c r="M128" s="128"/>
      <c r="N128" s="128">
        <f t="shared" si="17"/>
        <v>1</v>
      </c>
      <c r="O128" s="128">
        <f t="shared" si="27"/>
        <v>1</v>
      </c>
      <c r="P128" s="227">
        <f t="shared" si="18"/>
        <v>8</v>
      </c>
      <c r="Q128" s="229" cm="1">
        <f t="array" ref="Q128">SUMPRODUCT((H_tblBGTage=I128)*(H_tblBGMnt=E128)*H_tblBG%)</f>
        <v>1</v>
      </c>
      <c r="R128" s="227">
        <f t="shared" si="28"/>
        <v>8</v>
      </c>
      <c r="S128" s="233"/>
      <c r="T128" s="233"/>
      <c r="U128" s="232" cm="1">
        <f t="array" ref="U128">SUMPRODUCT((AVR!M_Verweiszeile=$H128)*AVR!M_ProdTag*(AVR!M_Monat=$E128))</f>
        <v>0</v>
      </c>
      <c r="V128" s="232" cm="1">
        <f t="array" ref="V128">SUMPRODUCT((AVR!M_Verweiszeile=$H128)*AVR!M_ProdN1*(AVR!M_Monat=$E128))</f>
        <v>0</v>
      </c>
      <c r="W128" s="232" cm="1">
        <f t="array" ref="W128">SUMPRODUCT((AVR!M_Verweiszeile=$H128)*AVR!M_ProdN2*(AVR!M_Monat=$E128))</f>
        <v>0</v>
      </c>
      <c r="X128" s="232" cm="1">
        <f t="array" ref="X128">SUMPRODUCT((AVR!M_Verweiszeile=$H128)*AVR!M_Reise*(AVR!M_Monat=$E128))</f>
        <v>0</v>
      </c>
      <c r="Y128" s="232" cm="1">
        <f t="array" ref="Y128">SUMPRODUCT((AVR!M_Verweiszeile=$H128)*AVR!M_Reiseabzug*(AVR!M_Monat=$E128))</f>
        <v>0</v>
      </c>
      <c r="Z128" s="232">
        <f t="shared" si="29"/>
        <v>0</v>
      </c>
      <c r="AA128" s="232">
        <f t="shared" si="19"/>
        <v>0</v>
      </c>
      <c r="AB128" s="232">
        <f t="shared" si="20"/>
        <v>0</v>
      </c>
      <c r="AC128" s="232">
        <f t="shared" si="30"/>
        <v>0</v>
      </c>
      <c r="AD128" s="232">
        <f t="shared" si="31"/>
        <v>0</v>
      </c>
      <c r="AE128" s="232">
        <f t="shared" si="32"/>
        <v>0</v>
      </c>
    </row>
    <row r="129" spans="3:31" s="185" customFormat="1" x14ac:dyDescent="0.2">
      <c r="C129" s="128">
        <v>120</v>
      </c>
      <c r="D129" s="186">
        <f t="shared" si="33"/>
        <v>46142</v>
      </c>
      <c r="E129" s="128">
        <f t="shared" si="21"/>
        <v>4</v>
      </c>
      <c r="F129" s="187">
        <f t="shared" si="22"/>
        <v>46142</v>
      </c>
      <c r="G129" s="128">
        <f t="shared" si="23"/>
        <v>18</v>
      </c>
      <c r="H129" s="128">
        <f t="shared" si="24"/>
        <v>30</v>
      </c>
      <c r="I129" s="128">
        <f t="shared" si="25"/>
        <v>4</v>
      </c>
      <c r="J129" s="188">
        <f t="shared" si="26"/>
        <v>46142</v>
      </c>
      <c r="K129" s="128" t="str" cm="1">
        <f t="array" ref="K129">IF(AND(I129&lt;7,INDEX(B_tblFTMatrix,$E129,$H129)="x"),"ft","")</f>
        <v/>
      </c>
      <c r="L129" s="128"/>
      <c r="M129" s="128"/>
      <c r="N129" s="128">
        <f t="shared" si="17"/>
        <v>1</v>
      </c>
      <c r="O129" s="128">
        <f t="shared" si="27"/>
        <v>1</v>
      </c>
      <c r="P129" s="227">
        <f t="shared" si="18"/>
        <v>8</v>
      </c>
      <c r="Q129" s="229" cm="1">
        <f t="array" ref="Q129">SUMPRODUCT((H_tblBGTage=I129)*(H_tblBGMnt=E129)*H_tblBG%)</f>
        <v>1</v>
      </c>
      <c r="R129" s="227">
        <f t="shared" si="28"/>
        <v>8</v>
      </c>
      <c r="S129" s="233"/>
      <c r="T129" s="233"/>
      <c r="U129" s="232" cm="1">
        <f t="array" ref="U129">SUMPRODUCT((AVR!M_Verweiszeile=$H129)*AVR!M_ProdTag*(AVR!M_Monat=$E129))</f>
        <v>0</v>
      </c>
      <c r="V129" s="232" cm="1">
        <f t="array" ref="V129">SUMPRODUCT((AVR!M_Verweiszeile=$H129)*AVR!M_ProdN1*(AVR!M_Monat=$E129))</f>
        <v>0</v>
      </c>
      <c r="W129" s="232" cm="1">
        <f t="array" ref="W129">SUMPRODUCT((AVR!M_Verweiszeile=$H129)*AVR!M_ProdN2*(AVR!M_Monat=$E129))</f>
        <v>0</v>
      </c>
      <c r="X129" s="232" cm="1">
        <f t="array" ref="X129">SUMPRODUCT((AVR!M_Verweiszeile=$H129)*AVR!M_Reise*(AVR!M_Monat=$E129))</f>
        <v>0</v>
      </c>
      <c r="Y129" s="232" cm="1">
        <f t="array" ref="Y129">SUMPRODUCT((AVR!M_Verweiszeile=$H129)*AVR!M_Reiseabzug*(AVR!M_Monat=$E129))</f>
        <v>0</v>
      </c>
      <c r="Z129" s="232">
        <f t="shared" si="29"/>
        <v>0</v>
      </c>
      <c r="AA129" s="232">
        <f t="shared" si="19"/>
        <v>0</v>
      </c>
      <c r="AB129" s="232">
        <f t="shared" si="20"/>
        <v>0</v>
      </c>
      <c r="AC129" s="232">
        <f t="shared" si="30"/>
        <v>0</v>
      </c>
      <c r="AD129" s="232">
        <f t="shared" si="31"/>
        <v>0</v>
      </c>
      <c r="AE129" s="232">
        <f t="shared" si="32"/>
        <v>0</v>
      </c>
    </row>
    <row r="130" spans="3:31" s="185" customFormat="1" x14ac:dyDescent="0.2">
      <c r="C130" s="128">
        <v>121</v>
      </c>
      <c r="D130" s="186">
        <f t="shared" si="33"/>
        <v>46143</v>
      </c>
      <c r="E130" s="128">
        <f t="shared" si="21"/>
        <v>5</v>
      </c>
      <c r="F130" s="187">
        <f t="shared" si="22"/>
        <v>46143</v>
      </c>
      <c r="G130" s="128">
        <f t="shared" si="23"/>
        <v>18</v>
      </c>
      <c r="H130" s="128">
        <f t="shared" si="24"/>
        <v>1</v>
      </c>
      <c r="I130" s="128">
        <f t="shared" si="25"/>
        <v>5</v>
      </c>
      <c r="J130" s="188">
        <f t="shared" si="26"/>
        <v>46143</v>
      </c>
      <c r="K130" s="128" t="str" cm="1">
        <f t="array" ref="K130">IF(AND(I130&lt;7,INDEX(B_tblFTMatrix,$E130,$H130)="x"),"ft","")</f>
        <v>ft</v>
      </c>
      <c r="L130" s="128"/>
      <c r="M130" s="128"/>
      <c r="N130" s="128">
        <f t="shared" si="17"/>
        <v>1</v>
      </c>
      <c r="O130" s="128">
        <f t="shared" si="27"/>
        <v>1</v>
      </c>
      <c r="P130" s="227">
        <f t="shared" si="18"/>
        <v>8</v>
      </c>
      <c r="Q130" s="229" cm="1">
        <f t="array" ref="Q130">SUMPRODUCT((H_tblBGTage=I130)*(H_tblBGMnt=E130)*H_tblBG%)</f>
        <v>1</v>
      </c>
      <c r="R130" s="227">
        <f t="shared" si="28"/>
        <v>8</v>
      </c>
      <c r="S130" s="233"/>
      <c r="T130" s="233"/>
      <c r="U130" s="311" cm="1">
        <f t="array" ref="U130">SUMPRODUCT((AVR!M_Verweiszeile=$H130)*AVR!M_ProdTag*(AVR!M_Monat=$E130))+SUMPRODUCT((MAI!M_Verweiszeile=$H130)*MAI!M_ProdTag*(MAI!M_Monat=$E130))</f>
        <v>0</v>
      </c>
      <c r="V130" s="232" cm="1">
        <f t="array" ref="V130">SUMPRODUCT((AVR!M_Verweiszeile=$H130)*AVR!M_ProdN1*(AVR!M_Monat=$E130))+SUMPRODUCT((MAI!M_Verweiszeile=$H130)*MAI!M_ProdN1*(MAI!M_Monat=$E130))</f>
        <v>0</v>
      </c>
      <c r="W130" s="232" cm="1">
        <f t="array" ref="W130">SUMPRODUCT((AVR!M_Verweiszeile=$H130)*AVR!M_ProdN2*(AVR!M_Monat=$E130))+SUMPRODUCT((MAI!M_Verweiszeile=$H130)*MAI!M_ProdN2*(MAI!M_Monat=$E130))</f>
        <v>0</v>
      </c>
      <c r="X130" s="232" cm="1">
        <f t="array" ref="X130">SUMPRODUCT((AVR!M_Verweiszeile=$H130)*AVR!M_Reise*(AVR!M_Monat=$E130))+SUMPRODUCT((MAI!M_Verweiszeile=$H130)*MAI!M_Reise*(MAI!M_Monat=$E130))</f>
        <v>0</v>
      </c>
      <c r="Y130" s="232" cm="1">
        <f t="array" ref="Y130">SUMPRODUCT((AVR!M_Verweiszeile=$H130)*AVR!M_Reiseabzug*(AVR!M_Monat=$E130))+SUMPRODUCT((MAI!M_Verweiszeile=$H130)*MAI!M_Reiseabzug*(MAI!M_Monat=$E130))</f>
        <v>0</v>
      </c>
      <c r="Z130" s="232">
        <f t="shared" si="29"/>
        <v>0</v>
      </c>
      <c r="AA130" s="232">
        <f t="shared" si="19"/>
        <v>8</v>
      </c>
      <c r="AB130" s="232">
        <f t="shared" si="20"/>
        <v>0</v>
      </c>
      <c r="AC130" s="232">
        <f t="shared" si="30"/>
        <v>0</v>
      </c>
      <c r="AD130" s="232">
        <f t="shared" si="31"/>
        <v>8</v>
      </c>
      <c r="AE130" s="232">
        <f t="shared" si="32"/>
        <v>8</v>
      </c>
    </row>
    <row r="131" spans="3:31" s="185" customFormat="1" x14ac:dyDescent="0.2">
      <c r="C131" s="128">
        <v>122</v>
      </c>
      <c r="D131" s="186">
        <f t="shared" si="33"/>
        <v>46144</v>
      </c>
      <c r="E131" s="128">
        <f t="shared" si="21"/>
        <v>5</v>
      </c>
      <c r="F131" s="187">
        <f t="shared" si="22"/>
        <v>46144</v>
      </c>
      <c r="G131" s="128">
        <f t="shared" si="23"/>
        <v>18</v>
      </c>
      <c r="H131" s="128">
        <f t="shared" si="24"/>
        <v>2</v>
      </c>
      <c r="I131" s="128">
        <f t="shared" si="25"/>
        <v>6</v>
      </c>
      <c r="J131" s="188">
        <f t="shared" si="26"/>
        <v>46144</v>
      </c>
      <c r="K131" s="128" t="str" cm="1">
        <f t="array" ref="K131">IF(AND(I131&lt;7,INDEX(B_tblFTMatrix,$E131,$H131)="x"),"ft","")</f>
        <v/>
      </c>
      <c r="L131" s="128"/>
      <c r="M131" s="128"/>
      <c r="N131" s="128">
        <f t="shared" si="17"/>
        <v>0</v>
      </c>
      <c r="O131" s="128">
        <f t="shared" si="27"/>
        <v>0</v>
      </c>
      <c r="P131" s="227">
        <f t="shared" si="18"/>
        <v>0</v>
      </c>
      <c r="Q131" s="229" cm="1">
        <f t="array" ref="Q131">SUMPRODUCT((H_tblBGTage=I131)*(H_tblBGMnt=E131)*H_tblBG%)</f>
        <v>0</v>
      </c>
      <c r="R131" s="227">
        <f t="shared" si="28"/>
        <v>0</v>
      </c>
      <c r="S131" s="233"/>
      <c r="T131" s="233"/>
      <c r="U131" s="311" cm="1">
        <f t="array" ref="U131">SUMPRODUCT((MAI!M_Verweiszeile=$H131)*MAI!M_ProdTag*(MAI!M_Monat=$E131))</f>
        <v>0</v>
      </c>
      <c r="V131" s="232" cm="1">
        <f t="array" ref="V131">SUMPRODUCT((MAI!M_Verweiszeile=$H131)*MAI!M_ProdN1*(MAI!M_Monat=$E131))</f>
        <v>0</v>
      </c>
      <c r="W131" s="232" cm="1">
        <f t="array" ref="W131">SUMPRODUCT((MAI!M_Verweiszeile=$H131)*MAI!M_ProdN2*(MAI!M_Monat=$E131))</f>
        <v>0</v>
      </c>
      <c r="X131" s="232" cm="1">
        <f t="array" ref="X131">SUMPRODUCT((MAI!M_Verweiszeile=$H131)*MAI!M_Reise*(MAI!M_Monat=$E131))</f>
        <v>0</v>
      </c>
      <c r="Y131" s="232" cm="1">
        <f t="array" ref="Y131">SUMPRODUCT((MAI!M_Verweiszeile=$H131)*MAI!M_Reiseabzug*(MAI!M_Monat=$E131))</f>
        <v>0</v>
      </c>
      <c r="Z131" s="232">
        <f t="shared" si="29"/>
        <v>0</v>
      </c>
      <c r="AA131" s="232">
        <f t="shared" si="19"/>
        <v>0</v>
      </c>
      <c r="AB131" s="232">
        <f t="shared" si="20"/>
        <v>0</v>
      </c>
      <c r="AC131" s="232">
        <f t="shared" si="30"/>
        <v>0</v>
      </c>
      <c r="AD131" s="232">
        <f t="shared" si="31"/>
        <v>0</v>
      </c>
      <c r="AE131" s="232">
        <f t="shared" si="32"/>
        <v>0</v>
      </c>
    </row>
    <row r="132" spans="3:31" s="185" customFormat="1" x14ac:dyDescent="0.2">
      <c r="C132" s="128">
        <v>123</v>
      </c>
      <c r="D132" s="186">
        <f t="shared" si="33"/>
        <v>46145</v>
      </c>
      <c r="E132" s="128">
        <f t="shared" si="21"/>
        <v>5</v>
      </c>
      <c r="F132" s="187">
        <f t="shared" si="22"/>
        <v>46145</v>
      </c>
      <c r="G132" s="128">
        <f t="shared" si="23"/>
        <v>18</v>
      </c>
      <c r="H132" s="128">
        <f t="shared" si="24"/>
        <v>3</v>
      </c>
      <c r="I132" s="128">
        <f t="shared" si="25"/>
        <v>7</v>
      </c>
      <c r="J132" s="188">
        <f t="shared" si="26"/>
        <v>46145</v>
      </c>
      <c r="K132" s="128" t="str" cm="1">
        <f t="array" ref="K132">IF(AND(I132&lt;7,INDEX(B_tblFTMatrix,$E132,$H132)="x"),"ft","")</f>
        <v/>
      </c>
      <c r="L132" s="128"/>
      <c r="M132" s="128"/>
      <c r="N132" s="128">
        <f t="shared" si="17"/>
        <v>0</v>
      </c>
      <c r="O132" s="128">
        <f t="shared" si="27"/>
        <v>0</v>
      </c>
      <c r="P132" s="227">
        <f t="shared" si="18"/>
        <v>0</v>
      </c>
      <c r="Q132" s="229" cm="1">
        <f t="array" ref="Q132">SUMPRODUCT((H_tblBGTage=I132)*(H_tblBGMnt=E132)*H_tblBG%)</f>
        <v>0</v>
      </c>
      <c r="R132" s="227">
        <f t="shared" si="28"/>
        <v>0</v>
      </c>
      <c r="S132" s="233"/>
      <c r="T132" s="233"/>
      <c r="U132" s="232" cm="1">
        <f t="array" ref="U132">SUMPRODUCT((MAI!M_Verweiszeile=$H132)*MAI!M_ProdTag*(MAI!M_Monat=$E132))</f>
        <v>0</v>
      </c>
      <c r="V132" s="232" cm="1">
        <f t="array" ref="V132">SUMPRODUCT((MAI!M_Verweiszeile=$H132)*MAI!M_ProdN1*(MAI!M_Monat=$E132))</f>
        <v>0</v>
      </c>
      <c r="W132" s="232" cm="1">
        <f t="array" ref="W132">SUMPRODUCT((MAI!M_Verweiszeile=$H132)*MAI!M_ProdN2*(MAI!M_Monat=$E132))</f>
        <v>0</v>
      </c>
      <c r="X132" s="232" cm="1">
        <f t="array" ref="X132">SUMPRODUCT((MAI!M_Verweiszeile=$H132)*MAI!M_Reise*(MAI!M_Monat=$E132))</f>
        <v>0</v>
      </c>
      <c r="Y132" s="232" cm="1">
        <f t="array" ref="Y132">SUMPRODUCT((MAI!M_Verweiszeile=$H132)*MAI!M_Reiseabzug*(MAI!M_Monat=$E132))</f>
        <v>0</v>
      </c>
      <c r="Z132" s="232">
        <f t="shared" si="29"/>
        <v>0</v>
      </c>
      <c r="AA132" s="232">
        <f t="shared" si="19"/>
        <v>0</v>
      </c>
      <c r="AB132" s="232">
        <f t="shared" si="20"/>
        <v>0</v>
      </c>
      <c r="AC132" s="232">
        <f t="shared" si="30"/>
        <v>0</v>
      </c>
      <c r="AD132" s="232">
        <f t="shared" si="31"/>
        <v>0</v>
      </c>
      <c r="AE132" s="232">
        <f t="shared" si="32"/>
        <v>0</v>
      </c>
    </row>
    <row r="133" spans="3:31" s="185" customFormat="1" x14ac:dyDescent="0.2">
      <c r="C133" s="128">
        <v>124</v>
      </c>
      <c r="D133" s="186">
        <f t="shared" si="33"/>
        <v>46146</v>
      </c>
      <c r="E133" s="128">
        <f t="shared" si="21"/>
        <v>5</v>
      </c>
      <c r="F133" s="187">
        <f t="shared" si="22"/>
        <v>46146</v>
      </c>
      <c r="G133" s="128">
        <f t="shared" si="23"/>
        <v>19</v>
      </c>
      <c r="H133" s="128">
        <f t="shared" si="24"/>
        <v>4</v>
      </c>
      <c r="I133" s="128">
        <f t="shared" si="25"/>
        <v>1</v>
      </c>
      <c r="J133" s="188">
        <f t="shared" si="26"/>
        <v>46146</v>
      </c>
      <c r="K133" s="128" t="str" cm="1">
        <f t="array" ref="K133">IF(AND(I133&lt;7,INDEX(B_tblFTMatrix,$E133,$H133)="x"),"ft","")</f>
        <v/>
      </c>
      <c r="L133" s="128"/>
      <c r="M133" s="128"/>
      <c r="N133" s="128">
        <f t="shared" si="17"/>
        <v>1</v>
      </c>
      <c r="O133" s="128">
        <f t="shared" si="27"/>
        <v>1</v>
      </c>
      <c r="P133" s="227">
        <f t="shared" si="18"/>
        <v>8</v>
      </c>
      <c r="Q133" s="229" cm="1">
        <f t="array" ref="Q133">SUMPRODUCT((H_tblBGTage=I133)*(H_tblBGMnt=E133)*H_tblBG%)</f>
        <v>1</v>
      </c>
      <c r="R133" s="227">
        <f t="shared" si="28"/>
        <v>8</v>
      </c>
      <c r="S133" s="233"/>
      <c r="T133" s="233"/>
      <c r="U133" s="232" cm="1">
        <f t="array" ref="U133">SUMPRODUCT((MAI!M_Verweiszeile=$H133)*MAI!M_ProdTag*(MAI!M_Monat=$E133))</f>
        <v>0</v>
      </c>
      <c r="V133" s="232" cm="1">
        <f t="array" ref="V133">SUMPRODUCT((MAI!M_Verweiszeile=$H133)*MAI!M_ProdN1*(MAI!M_Monat=$E133))</f>
        <v>0</v>
      </c>
      <c r="W133" s="232" cm="1">
        <f t="array" ref="W133">SUMPRODUCT((MAI!M_Verweiszeile=$H133)*MAI!M_ProdN2*(MAI!M_Monat=$E133))</f>
        <v>0</v>
      </c>
      <c r="X133" s="232" cm="1">
        <f t="array" ref="X133">SUMPRODUCT((MAI!M_Verweiszeile=$H133)*MAI!M_Reise*(MAI!M_Monat=$E133))</f>
        <v>0</v>
      </c>
      <c r="Y133" s="232" cm="1">
        <f t="array" ref="Y133">SUMPRODUCT((MAI!M_Verweiszeile=$H133)*MAI!M_Reiseabzug*(MAI!M_Monat=$E133))</f>
        <v>0</v>
      </c>
      <c r="Z133" s="232">
        <f t="shared" si="29"/>
        <v>0</v>
      </c>
      <c r="AA133" s="232">
        <f t="shared" si="19"/>
        <v>0</v>
      </c>
      <c r="AB133" s="232">
        <f t="shared" si="20"/>
        <v>0</v>
      </c>
      <c r="AC133" s="232">
        <f t="shared" si="30"/>
        <v>0</v>
      </c>
      <c r="AD133" s="232">
        <f t="shared" si="31"/>
        <v>0</v>
      </c>
      <c r="AE133" s="232">
        <f t="shared" si="32"/>
        <v>0</v>
      </c>
    </row>
    <row r="134" spans="3:31" s="185" customFormat="1" x14ac:dyDescent="0.2">
      <c r="C134" s="128">
        <v>125</v>
      </c>
      <c r="D134" s="186">
        <f t="shared" si="33"/>
        <v>46147</v>
      </c>
      <c r="E134" s="128">
        <f t="shared" si="21"/>
        <v>5</v>
      </c>
      <c r="F134" s="187">
        <f t="shared" si="22"/>
        <v>46147</v>
      </c>
      <c r="G134" s="128">
        <f t="shared" si="23"/>
        <v>19</v>
      </c>
      <c r="H134" s="128">
        <f t="shared" si="24"/>
        <v>5</v>
      </c>
      <c r="I134" s="128">
        <f t="shared" si="25"/>
        <v>2</v>
      </c>
      <c r="J134" s="188">
        <f t="shared" si="26"/>
        <v>46147</v>
      </c>
      <c r="K134" s="128" t="str" cm="1">
        <f t="array" ref="K134">IF(AND(I134&lt;7,INDEX(B_tblFTMatrix,$E134,$H134)="x"),"ft","")</f>
        <v/>
      </c>
      <c r="L134" s="128"/>
      <c r="M134" s="128"/>
      <c r="N134" s="128">
        <f t="shared" si="17"/>
        <v>1</v>
      </c>
      <c r="O134" s="128">
        <f t="shared" si="27"/>
        <v>1</v>
      </c>
      <c r="P134" s="227">
        <f t="shared" si="18"/>
        <v>8</v>
      </c>
      <c r="Q134" s="229" cm="1">
        <f t="array" ref="Q134">SUMPRODUCT((H_tblBGTage=I134)*(H_tblBGMnt=E134)*H_tblBG%)</f>
        <v>1</v>
      </c>
      <c r="R134" s="227">
        <f t="shared" si="28"/>
        <v>8</v>
      </c>
      <c r="S134" s="233"/>
      <c r="T134" s="233"/>
      <c r="U134" s="232" cm="1">
        <f t="array" ref="U134">SUMPRODUCT((MAI!M_Verweiszeile=$H134)*MAI!M_ProdTag*(MAI!M_Monat=$E134))</f>
        <v>0</v>
      </c>
      <c r="V134" s="232" cm="1">
        <f t="array" ref="V134">SUMPRODUCT((MAI!M_Verweiszeile=$H134)*MAI!M_ProdN1*(MAI!M_Monat=$E134))</f>
        <v>0</v>
      </c>
      <c r="W134" s="232" cm="1">
        <f t="array" ref="W134">SUMPRODUCT((MAI!M_Verweiszeile=$H134)*MAI!M_ProdN2*(MAI!M_Monat=$E134))</f>
        <v>0</v>
      </c>
      <c r="X134" s="232" cm="1">
        <f t="array" ref="X134">SUMPRODUCT((MAI!M_Verweiszeile=$H134)*MAI!M_Reise*(MAI!M_Monat=$E134))</f>
        <v>0</v>
      </c>
      <c r="Y134" s="232" cm="1">
        <f t="array" ref="Y134">SUMPRODUCT((MAI!M_Verweiszeile=$H134)*MAI!M_Reiseabzug*(MAI!M_Monat=$E134))</f>
        <v>0</v>
      </c>
      <c r="Z134" s="232">
        <f t="shared" si="29"/>
        <v>0</v>
      </c>
      <c r="AA134" s="232">
        <f t="shared" si="19"/>
        <v>0</v>
      </c>
      <c r="AB134" s="232">
        <f t="shared" si="20"/>
        <v>0</v>
      </c>
      <c r="AC134" s="232">
        <f t="shared" si="30"/>
        <v>0</v>
      </c>
      <c r="AD134" s="232">
        <f t="shared" si="31"/>
        <v>0</v>
      </c>
      <c r="AE134" s="232">
        <f t="shared" si="32"/>
        <v>0</v>
      </c>
    </row>
    <row r="135" spans="3:31" s="185" customFormat="1" x14ac:dyDescent="0.2">
      <c r="C135" s="128">
        <v>126</v>
      </c>
      <c r="D135" s="186">
        <f t="shared" si="33"/>
        <v>46148</v>
      </c>
      <c r="E135" s="128">
        <f t="shared" si="21"/>
        <v>5</v>
      </c>
      <c r="F135" s="187">
        <f t="shared" si="22"/>
        <v>46148</v>
      </c>
      <c r="G135" s="128">
        <f t="shared" si="23"/>
        <v>19</v>
      </c>
      <c r="H135" s="128">
        <f t="shared" si="24"/>
        <v>6</v>
      </c>
      <c r="I135" s="128">
        <f t="shared" si="25"/>
        <v>3</v>
      </c>
      <c r="J135" s="188">
        <f t="shared" si="26"/>
        <v>46148</v>
      </c>
      <c r="K135" s="128" t="str" cm="1">
        <f t="array" ref="K135">IF(AND(I135&lt;7,INDEX(B_tblFTMatrix,$E135,$H135)="x"),"ft","")</f>
        <v/>
      </c>
      <c r="L135" s="128"/>
      <c r="M135" s="128"/>
      <c r="N135" s="128">
        <f t="shared" si="17"/>
        <v>1</v>
      </c>
      <c r="O135" s="128">
        <f t="shared" si="27"/>
        <v>1</v>
      </c>
      <c r="P135" s="227">
        <f t="shared" si="18"/>
        <v>8</v>
      </c>
      <c r="Q135" s="229" cm="1">
        <f t="array" ref="Q135">SUMPRODUCT((H_tblBGTage=I135)*(H_tblBGMnt=E135)*H_tblBG%)</f>
        <v>1</v>
      </c>
      <c r="R135" s="227">
        <f t="shared" si="28"/>
        <v>8</v>
      </c>
      <c r="S135" s="233"/>
      <c r="T135" s="233"/>
      <c r="U135" s="232" cm="1">
        <f t="array" ref="U135">SUMPRODUCT((MAI!M_Verweiszeile=$H135)*MAI!M_ProdTag*(MAI!M_Monat=$E135))</f>
        <v>0</v>
      </c>
      <c r="V135" s="232" cm="1">
        <f t="array" ref="V135">SUMPRODUCT((MAI!M_Verweiszeile=$H135)*MAI!M_ProdN1*(MAI!M_Monat=$E135))</f>
        <v>0</v>
      </c>
      <c r="W135" s="232" cm="1">
        <f t="array" ref="W135">SUMPRODUCT((MAI!M_Verweiszeile=$H135)*MAI!M_ProdN2*(MAI!M_Monat=$E135))</f>
        <v>0</v>
      </c>
      <c r="X135" s="232" cm="1">
        <f t="array" ref="X135">SUMPRODUCT((MAI!M_Verweiszeile=$H135)*MAI!M_Reise*(MAI!M_Monat=$E135))</f>
        <v>0</v>
      </c>
      <c r="Y135" s="232" cm="1">
        <f t="array" ref="Y135">SUMPRODUCT((MAI!M_Verweiszeile=$H135)*MAI!M_Reiseabzug*(MAI!M_Monat=$E135))</f>
        <v>0</v>
      </c>
      <c r="Z135" s="232">
        <f t="shared" si="29"/>
        <v>0</v>
      </c>
      <c r="AA135" s="232">
        <f t="shared" si="19"/>
        <v>0</v>
      </c>
      <c r="AB135" s="232">
        <f t="shared" si="20"/>
        <v>0</v>
      </c>
      <c r="AC135" s="232">
        <f t="shared" si="30"/>
        <v>0</v>
      </c>
      <c r="AD135" s="232">
        <f t="shared" si="31"/>
        <v>0</v>
      </c>
      <c r="AE135" s="232">
        <f t="shared" si="32"/>
        <v>0</v>
      </c>
    </row>
    <row r="136" spans="3:31" s="185" customFormat="1" x14ac:dyDescent="0.2">
      <c r="C136" s="128">
        <v>127</v>
      </c>
      <c r="D136" s="186">
        <f t="shared" si="33"/>
        <v>46149</v>
      </c>
      <c r="E136" s="128">
        <f t="shared" si="21"/>
        <v>5</v>
      </c>
      <c r="F136" s="187">
        <f t="shared" si="22"/>
        <v>46149</v>
      </c>
      <c r="G136" s="128">
        <f t="shared" si="23"/>
        <v>19</v>
      </c>
      <c r="H136" s="128">
        <f t="shared" si="24"/>
        <v>7</v>
      </c>
      <c r="I136" s="128">
        <f t="shared" si="25"/>
        <v>4</v>
      </c>
      <c r="J136" s="188">
        <f t="shared" si="26"/>
        <v>46149</v>
      </c>
      <c r="K136" s="128" t="str" cm="1">
        <f t="array" ref="K136">IF(AND(I136&lt;7,INDEX(B_tblFTMatrix,$E136,$H136)="x"),"ft","")</f>
        <v/>
      </c>
      <c r="L136" s="128"/>
      <c r="M136" s="128"/>
      <c r="N136" s="128">
        <f t="shared" si="17"/>
        <v>1</v>
      </c>
      <c r="O136" s="128">
        <f t="shared" si="27"/>
        <v>1</v>
      </c>
      <c r="P136" s="227">
        <f t="shared" si="18"/>
        <v>8</v>
      </c>
      <c r="Q136" s="229" cm="1">
        <f t="array" ref="Q136">SUMPRODUCT((H_tblBGTage=I136)*(H_tblBGMnt=E136)*H_tblBG%)</f>
        <v>1</v>
      </c>
      <c r="R136" s="227">
        <f t="shared" si="28"/>
        <v>8</v>
      </c>
      <c r="S136" s="233"/>
      <c r="T136" s="233"/>
      <c r="U136" s="232" cm="1">
        <f t="array" ref="U136">SUMPRODUCT((MAI!M_Verweiszeile=$H136)*MAI!M_ProdTag*(MAI!M_Monat=$E136))</f>
        <v>0</v>
      </c>
      <c r="V136" s="232" cm="1">
        <f t="array" ref="V136">SUMPRODUCT((MAI!M_Verweiszeile=$H136)*MAI!M_ProdN1*(MAI!M_Monat=$E136))</f>
        <v>0</v>
      </c>
      <c r="W136" s="232" cm="1">
        <f t="array" ref="W136">SUMPRODUCT((MAI!M_Verweiszeile=$H136)*MAI!M_ProdN2*(MAI!M_Monat=$E136))</f>
        <v>0</v>
      </c>
      <c r="X136" s="232" cm="1">
        <f t="array" ref="X136">SUMPRODUCT((MAI!M_Verweiszeile=$H136)*MAI!M_Reise*(MAI!M_Monat=$E136))</f>
        <v>0</v>
      </c>
      <c r="Y136" s="232" cm="1">
        <f t="array" ref="Y136">SUMPRODUCT((MAI!M_Verweiszeile=$H136)*MAI!M_Reiseabzug*(MAI!M_Monat=$E136))</f>
        <v>0</v>
      </c>
      <c r="Z136" s="232">
        <f t="shared" si="29"/>
        <v>0</v>
      </c>
      <c r="AA136" s="232">
        <f t="shared" si="19"/>
        <v>0</v>
      </c>
      <c r="AB136" s="232">
        <f t="shared" si="20"/>
        <v>0</v>
      </c>
      <c r="AC136" s="232">
        <f t="shared" si="30"/>
        <v>0</v>
      </c>
      <c r="AD136" s="232">
        <f t="shared" si="31"/>
        <v>0</v>
      </c>
      <c r="AE136" s="232">
        <f t="shared" si="32"/>
        <v>0</v>
      </c>
    </row>
    <row r="137" spans="3:31" s="185" customFormat="1" x14ac:dyDescent="0.2">
      <c r="C137" s="128">
        <v>128</v>
      </c>
      <c r="D137" s="186">
        <f t="shared" si="33"/>
        <v>46150</v>
      </c>
      <c r="E137" s="128">
        <f t="shared" si="21"/>
        <v>5</v>
      </c>
      <c r="F137" s="187">
        <f t="shared" si="22"/>
        <v>46150</v>
      </c>
      <c r="G137" s="128">
        <f t="shared" si="23"/>
        <v>19</v>
      </c>
      <c r="H137" s="128">
        <f t="shared" si="24"/>
        <v>8</v>
      </c>
      <c r="I137" s="128">
        <f t="shared" si="25"/>
        <v>5</v>
      </c>
      <c r="J137" s="188">
        <f t="shared" si="26"/>
        <v>46150</v>
      </c>
      <c r="K137" s="128" t="str" cm="1">
        <f t="array" ref="K137">IF(AND(I137&lt;7,INDEX(B_tblFTMatrix,$E137,$H137)="x"),"ft","")</f>
        <v/>
      </c>
      <c r="L137" s="128"/>
      <c r="M137" s="128"/>
      <c r="N137" s="128">
        <f t="shared" si="17"/>
        <v>1</v>
      </c>
      <c r="O137" s="128">
        <f t="shared" si="27"/>
        <v>1</v>
      </c>
      <c r="P137" s="227">
        <f t="shared" si="18"/>
        <v>8</v>
      </c>
      <c r="Q137" s="229" cm="1">
        <f t="array" ref="Q137">SUMPRODUCT((H_tblBGTage=I137)*(H_tblBGMnt=E137)*H_tblBG%)</f>
        <v>1</v>
      </c>
      <c r="R137" s="227">
        <f t="shared" si="28"/>
        <v>8</v>
      </c>
      <c r="S137" s="233"/>
      <c r="T137" s="233"/>
      <c r="U137" s="232" cm="1">
        <f t="array" ref="U137">SUMPRODUCT((MAI!M_Verweiszeile=$H137)*MAI!M_ProdTag*(MAI!M_Monat=$E137))</f>
        <v>0</v>
      </c>
      <c r="V137" s="232" cm="1">
        <f t="array" ref="V137">SUMPRODUCT((MAI!M_Verweiszeile=$H137)*MAI!M_ProdN1*(MAI!M_Monat=$E137))</f>
        <v>0</v>
      </c>
      <c r="W137" s="232" cm="1">
        <f t="array" ref="W137">SUMPRODUCT((MAI!M_Verweiszeile=$H137)*MAI!M_ProdN2*(MAI!M_Monat=$E137))</f>
        <v>0</v>
      </c>
      <c r="X137" s="232" cm="1">
        <f t="array" ref="X137">SUMPRODUCT((MAI!M_Verweiszeile=$H137)*MAI!M_Reise*(MAI!M_Monat=$E137))</f>
        <v>0</v>
      </c>
      <c r="Y137" s="232" cm="1">
        <f t="array" ref="Y137">SUMPRODUCT((MAI!M_Verweiszeile=$H137)*MAI!M_Reiseabzug*(MAI!M_Monat=$E137))</f>
        <v>0</v>
      </c>
      <c r="Z137" s="232">
        <f t="shared" si="29"/>
        <v>0</v>
      </c>
      <c r="AA137" s="232">
        <f t="shared" si="19"/>
        <v>0</v>
      </c>
      <c r="AB137" s="232">
        <f t="shared" si="20"/>
        <v>0</v>
      </c>
      <c r="AC137" s="232">
        <f t="shared" si="30"/>
        <v>0</v>
      </c>
      <c r="AD137" s="232">
        <f t="shared" si="31"/>
        <v>0</v>
      </c>
      <c r="AE137" s="232">
        <f t="shared" si="32"/>
        <v>0</v>
      </c>
    </row>
    <row r="138" spans="3:31" s="185" customFormat="1" x14ac:dyDescent="0.2">
      <c r="C138" s="128">
        <v>129</v>
      </c>
      <c r="D138" s="186">
        <f t="shared" si="33"/>
        <v>46151</v>
      </c>
      <c r="E138" s="128">
        <f t="shared" si="21"/>
        <v>5</v>
      </c>
      <c r="F138" s="187">
        <f t="shared" si="22"/>
        <v>46151</v>
      </c>
      <c r="G138" s="128">
        <f t="shared" si="23"/>
        <v>19</v>
      </c>
      <c r="H138" s="128">
        <f t="shared" si="24"/>
        <v>9</v>
      </c>
      <c r="I138" s="128">
        <f t="shared" si="25"/>
        <v>6</v>
      </c>
      <c r="J138" s="188">
        <f t="shared" si="26"/>
        <v>46151</v>
      </c>
      <c r="K138" s="128" t="str" cm="1">
        <f t="array" ref="K138">IF(AND(I138&lt;7,INDEX(B_tblFTMatrix,$E138,$H138)="x"),"ft","")</f>
        <v/>
      </c>
      <c r="L138" s="128"/>
      <c r="M138" s="128"/>
      <c r="N138" s="128">
        <f t="shared" ref="N138:N201" si="34">IF(I138&lt;6,1,0)</f>
        <v>0</v>
      </c>
      <c r="O138" s="128">
        <f t="shared" si="27"/>
        <v>0</v>
      </c>
      <c r="P138" s="227">
        <f t="shared" ref="P138:P201" si="35">IFERROR($E$3*N138,0)</f>
        <v>0</v>
      </c>
      <c r="Q138" s="229" cm="1">
        <f t="array" ref="Q138">SUMPRODUCT((H_tblBGTage=I138)*(H_tblBGMnt=E138)*H_tblBG%)</f>
        <v>0</v>
      </c>
      <c r="R138" s="227">
        <f t="shared" si="28"/>
        <v>0</v>
      </c>
      <c r="S138" s="233"/>
      <c r="T138" s="233"/>
      <c r="U138" s="232" cm="1">
        <f t="array" ref="U138">SUMPRODUCT((MAI!M_Verweiszeile=$H138)*MAI!M_ProdTag*(MAI!M_Monat=$E138))</f>
        <v>0</v>
      </c>
      <c r="V138" s="232" cm="1">
        <f t="array" ref="V138">SUMPRODUCT((MAI!M_Verweiszeile=$H138)*MAI!M_ProdN1*(MAI!M_Monat=$E138))</f>
        <v>0</v>
      </c>
      <c r="W138" s="232" cm="1">
        <f t="array" ref="W138">SUMPRODUCT((MAI!M_Verweiszeile=$H138)*MAI!M_ProdN2*(MAI!M_Monat=$E138))</f>
        <v>0</v>
      </c>
      <c r="X138" s="232" cm="1">
        <f t="array" ref="X138">SUMPRODUCT((MAI!M_Verweiszeile=$H138)*MAI!M_Reise*(MAI!M_Monat=$E138))</f>
        <v>0</v>
      </c>
      <c r="Y138" s="232" cm="1">
        <f t="array" ref="Y138">SUMPRODUCT((MAI!M_Verweiszeile=$H138)*MAI!M_Reiseabzug*(MAI!M_Monat=$E138))</f>
        <v>0</v>
      </c>
      <c r="Z138" s="232">
        <f t="shared" si="29"/>
        <v>0</v>
      </c>
      <c r="AA138" s="232">
        <f t="shared" ref="AA138:AA201" si="36">IFERROR(IF($K138="ft",R138,0),0)</f>
        <v>0</v>
      </c>
      <c r="AB138" s="232">
        <f t="shared" ref="AB138:AB201" si="37">SUM(V138:W138)*A_fldZ2</f>
        <v>0</v>
      </c>
      <c r="AC138" s="232">
        <f t="shared" si="30"/>
        <v>0</v>
      </c>
      <c r="AD138" s="232">
        <f t="shared" si="31"/>
        <v>0</v>
      </c>
      <c r="AE138" s="232">
        <f t="shared" si="32"/>
        <v>0</v>
      </c>
    </row>
    <row r="139" spans="3:31" s="185" customFormat="1" x14ac:dyDescent="0.2">
      <c r="C139" s="128">
        <v>130</v>
      </c>
      <c r="D139" s="186">
        <f t="shared" si="33"/>
        <v>46152</v>
      </c>
      <c r="E139" s="128">
        <f t="shared" ref="E139:E202" si="38">MONTH(D139)</f>
        <v>5</v>
      </c>
      <c r="F139" s="187">
        <f t="shared" ref="F139:F202" si="39">D139</f>
        <v>46152</v>
      </c>
      <c r="G139" s="128">
        <f t="shared" ref="G139:G202" si="40">_xlfn.ISOWEEKNUM(D139)</f>
        <v>19</v>
      </c>
      <c r="H139" s="128">
        <f t="shared" ref="H139:H202" si="41">DAY(D139)</f>
        <v>10</v>
      </c>
      <c r="I139" s="128">
        <f t="shared" ref="I139:I202" si="42">WEEKDAY(D139,2)</f>
        <v>7</v>
      </c>
      <c r="J139" s="188">
        <f t="shared" ref="J139:J202" si="43">D139</f>
        <v>46152</v>
      </c>
      <c r="K139" s="128" t="str" cm="1">
        <f t="array" ref="K139">IF(AND(I139&lt;7,INDEX(B_tblFTMatrix,$E139,$H139)="x"),"ft","")</f>
        <v/>
      </c>
      <c r="L139" s="128"/>
      <c r="M139" s="128"/>
      <c r="N139" s="128">
        <f t="shared" si="34"/>
        <v>0</v>
      </c>
      <c r="O139" s="128">
        <f t="shared" ref="O139:O202" si="44">IF(AND(L139&lt;&gt;"x",N139),1,0)</f>
        <v>0</v>
      </c>
      <c r="P139" s="227">
        <f t="shared" si="35"/>
        <v>0</v>
      </c>
      <c r="Q139" s="229" cm="1">
        <f t="array" ref="Q139">SUMPRODUCT((H_tblBGTage=I139)*(H_tblBGMnt=E139)*H_tblBG%)</f>
        <v>0</v>
      </c>
      <c r="R139" s="227">
        <f t="shared" ref="R139:R202" si="45">IFERROR(P139*Q139,0)</f>
        <v>0</v>
      </c>
      <c r="S139" s="233"/>
      <c r="T139" s="233"/>
      <c r="U139" s="232" cm="1">
        <f t="array" ref="U139">SUMPRODUCT((MAI!M_Verweiszeile=$H139)*MAI!M_ProdTag*(MAI!M_Monat=$E139))</f>
        <v>0</v>
      </c>
      <c r="V139" s="232" cm="1">
        <f t="array" ref="V139">SUMPRODUCT((MAI!M_Verweiszeile=$H139)*MAI!M_ProdN1*(MAI!M_Monat=$E139))</f>
        <v>0</v>
      </c>
      <c r="W139" s="232" cm="1">
        <f t="array" ref="W139">SUMPRODUCT((MAI!M_Verweiszeile=$H139)*MAI!M_ProdN2*(MAI!M_Monat=$E139))</f>
        <v>0</v>
      </c>
      <c r="X139" s="232" cm="1">
        <f t="array" ref="X139">SUMPRODUCT((MAI!M_Verweiszeile=$H139)*MAI!M_Reise*(MAI!M_Monat=$E139))</f>
        <v>0</v>
      </c>
      <c r="Y139" s="232" cm="1">
        <f t="array" ref="Y139">SUMPRODUCT((MAI!M_Verweiszeile=$H139)*MAI!M_Reiseabzug*(MAI!M_Monat=$E139))</f>
        <v>0</v>
      </c>
      <c r="Z139" s="232">
        <f t="shared" ref="Z139:Z202" si="46">SUM(U139:X139)-Y139</f>
        <v>0</v>
      </c>
      <c r="AA139" s="232">
        <f t="shared" si="36"/>
        <v>0</v>
      </c>
      <c r="AB139" s="232">
        <f t="shared" si="37"/>
        <v>0</v>
      </c>
      <c r="AC139" s="232">
        <f t="shared" ref="AC139:AC202" si="47">IF(OR(I139=7,K139="ft"),U139,0)</f>
        <v>0</v>
      </c>
      <c r="AD139" s="232">
        <f t="shared" ref="AD139:AD202" si="48">SUM(AA139:AC139)</f>
        <v>0</v>
      </c>
      <c r="AE139" s="232">
        <f t="shared" ref="AE139:AE202" si="49">Z139+AD139</f>
        <v>0</v>
      </c>
    </row>
    <row r="140" spans="3:31" s="185" customFormat="1" x14ac:dyDescent="0.2">
      <c r="C140" s="128">
        <v>131</v>
      </c>
      <c r="D140" s="186">
        <f t="shared" ref="D140:D203" si="50">D139+1</f>
        <v>46153</v>
      </c>
      <c r="E140" s="128">
        <f t="shared" si="38"/>
        <v>5</v>
      </c>
      <c r="F140" s="187">
        <f t="shared" si="39"/>
        <v>46153</v>
      </c>
      <c r="G140" s="128">
        <f t="shared" si="40"/>
        <v>20</v>
      </c>
      <c r="H140" s="128">
        <f t="shared" si="41"/>
        <v>11</v>
      </c>
      <c r="I140" s="128">
        <f t="shared" si="42"/>
        <v>1</v>
      </c>
      <c r="J140" s="188">
        <f t="shared" si="43"/>
        <v>46153</v>
      </c>
      <c r="K140" s="128" t="str" cm="1">
        <f t="array" ref="K140">IF(AND(I140&lt;7,INDEX(B_tblFTMatrix,$E140,$H140)="x"),"ft","")</f>
        <v/>
      </c>
      <c r="L140" s="128"/>
      <c r="M140" s="128"/>
      <c r="N140" s="128">
        <f t="shared" si="34"/>
        <v>1</v>
      </c>
      <c r="O140" s="128">
        <f t="shared" si="44"/>
        <v>1</v>
      </c>
      <c r="P140" s="227">
        <f t="shared" si="35"/>
        <v>8</v>
      </c>
      <c r="Q140" s="229" cm="1">
        <f t="array" ref="Q140">SUMPRODUCT((H_tblBGTage=I140)*(H_tblBGMnt=E140)*H_tblBG%)</f>
        <v>1</v>
      </c>
      <c r="R140" s="227">
        <f t="shared" si="45"/>
        <v>8</v>
      </c>
      <c r="S140" s="233"/>
      <c r="T140" s="233"/>
      <c r="U140" s="232" cm="1">
        <f t="array" ref="U140">SUMPRODUCT((MAI!M_Verweiszeile=$H140)*MAI!M_ProdTag*(MAI!M_Monat=$E140))</f>
        <v>0</v>
      </c>
      <c r="V140" s="232" cm="1">
        <f t="array" ref="V140">SUMPRODUCT((MAI!M_Verweiszeile=$H140)*MAI!M_ProdN1*(MAI!M_Monat=$E140))</f>
        <v>0</v>
      </c>
      <c r="W140" s="232" cm="1">
        <f t="array" ref="W140">SUMPRODUCT((MAI!M_Verweiszeile=$H140)*MAI!M_ProdN2*(MAI!M_Monat=$E140))</f>
        <v>0</v>
      </c>
      <c r="X140" s="232" cm="1">
        <f t="array" ref="X140">SUMPRODUCT((MAI!M_Verweiszeile=$H140)*MAI!M_Reise*(MAI!M_Monat=$E140))</f>
        <v>0</v>
      </c>
      <c r="Y140" s="232" cm="1">
        <f t="array" ref="Y140">SUMPRODUCT((MAI!M_Verweiszeile=$H140)*MAI!M_Reiseabzug*(MAI!M_Monat=$E140))</f>
        <v>0</v>
      </c>
      <c r="Z140" s="232">
        <f t="shared" si="46"/>
        <v>0</v>
      </c>
      <c r="AA140" s="232">
        <f t="shared" si="36"/>
        <v>0</v>
      </c>
      <c r="AB140" s="232">
        <f t="shared" si="37"/>
        <v>0</v>
      </c>
      <c r="AC140" s="232">
        <f t="shared" si="47"/>
        <v>0</v>
      </c>
      <c r="AD140" s="232">
        <f t="shared" si="48"/>
        <v>0</v>
      </c>
      <c r="AE140" s="232">
        <f t="shared" si="49"/>
        <v>0</v>
      </c>
    </row>
    <row r="141" spans="3:31" s="185" customFormat="1" x14ac:dyDescent="0.2">
      <c r="C141" s="128">
        <v>132</v>
      </c>
      <c r="D141" s="186">
        <f t="shared" si="50"/>
        <v>46154</v>
      </c>
      <c r="E141" s="128">
        <f t="shared" si="38"/>
        <v>5</v>
      </c>
      <c r="F141" s="187">
        <f t="shared" si="39"/>
        <v>46154</v>
      </c>
      <c r="G141" s="128">
        <f t="shared" si="40"/>
        <v>20</v>
      </c>
      <c r="H141" s="128">
        <f t="shared" si="41"/>
        <v>12</v>
      </c>
      <c r="I141" s="128">
        <f t="shared" si="42"/>
        <v>2</v>
      </c>
      <c r="J141" s="188">
        <f t="shared" si="43"/>
        <v>46154</v>
      </c>
      <c r="K141" s="128" t="str" cm="1">
        <f t="array" ref="K141">IF(AND(I141&lt;7,INDEX(B_tblFTMatrix,$E141,$H141)="x"),"ft","")</f>
        <v/>
      </c>
      <c r="L141" s="128"/>
      <c r="M141" s="128"/>
      <c r="N141" s="128">
        <f t="shared" si="34"/>
        <v>1</v>
      </c>
      <c r="O141" s="128">
        <f t="shared" si="44"/>
        <v>1</v>
      </c>
      <c r="P141" s="227">
        <f t="shared" si="35"/>
        <v>8</v>
      </c>
      <c r="Q141" s="229" cm="1">
        <f t="array" ref="Q141">SUMPRODUCT((H_tblBGTage=I141)*(H_tblBGMnt=E141)*H_tblBG%)</f>
        <v>1</v>
      </c>
      <c r="R141" s="227">
        <f t="shared" si="45"/>
        <v>8</v>
      </c>
      <c r="S141" s="233"/>
      <c r="T141" s="233"/>
      <c r="U141" s="232" cm="1">
        <f t="array" ref="U141">SUMPRODUCT((MAI!M_Verweiszeile=$H141)*MAI!M_ProdTag*(MAI!M_Monat=$E141))</f>
        <v>0</v>
      </c>
      <c r="V141" s="232" cm="1">
        <f t="array" ref="V141">SUMPRODUCT((MAI!M_Verweiszeile=$H141)*MAI!M_ProdN1*(MAI!M_Monat=$E141))</f>
        <v>0</v>
      </c>
      <c r="W141" s="232" cm="1">
        <f t="array" ref="W141">SUMPRODUCT((MAI!M_Verweiszeile=$H141)*MAI!M_ProdN2*(MAI!M_Monat=$E141))</f>
        <v>0</v>
      </c>
      <c r="X141" s="232" cm="1">
        <f t="array" ref="X141">SUMPRODUCT((MAI!M_Verweiszeile=$H141)*MAI!M_Reise*(MAI!M_Monat=$E141))</f>
        <v>0</v>
      </c>
      <c r="Y141" s="232" cm="1">
        <f t="array" ref="Y141">SUMPRODUCT((MAI!M_Verweiszeile=$H141)*MAI!M_Reiseabzug*(MAI!M_Monat=$E141))</f>
        <v>0</v>
      </c>
      <c r="Z141" s="232">
        <f t="shared" si="46"/>
        <v>0</v>
      </c>
      <c r="AA141" s="232">
        <f t="shared" si="36"/>
        <v>0</v>
      </c>
      <c r="AB141" s="232">
        <f t="shared" si="37"/>
        <v>0</v>
      </c>
      <c r="AC141" s="232">
        <f t="shared" si="47"/>
        <v>0</v>
      </c>
      <c r="AD141" s="232">
        <f t="shared" si="48"/>
        <v>0</v>
      </c>
      <c r="AE141" s="232">
        <f t="shared" si="49"/>
        <v>0</v>
      </c>
    </row>
    <row r="142" spans="3:31" s="185" customFormat="1" x14ac:dyDescent="0.2">
      <c r="C142" s="128">
        <v>133</v>
      </c>
      <c r="D142" s="186">
        <f t="shared" si="50"/>
        <v>46155</v>
      </c>
      <c r="E142" s="128">
        <f t="shared" si="38"/>
        <v>5</v>
      </c>
      <c r="F142" s="187">
        <f t="shared" si="39"/>
        <v>46155</v>
      </c>
      <c r="G142" s="128">
        <f t="shared" si="40"/>
        <v>20</v>
      </c>
      <c r="H142" s="128">
        <f t="shared" si="41"/>
        <v>13</v>
      </c>
      <c r="I142" s="128">
        <f t="shared" si="42"/>
        <v>3</v>
      </c>
      <c r="J142" s="188">
        <f t="shared" si="43"/>
        <v>46155</v>
      </c>
      <c r="K142" s="128" t="str" cm="1">
        <f t="array" ref="K142">IF(AND(I142&lt;7,INDEX(B_tblFTMatrix,$E142,$H142)="x"),"ft","")</f>
        <v/>
      </c>
      <c r="L142" s="128"/>
      <c r="M142" s="128"/>
      <c r="N142" s="128">
        <f t="shared" si="34"/>
        <v>1</v>
      </c>
      <c r="O142" s="128">
        <f t="shared" si="44"/>
        <v>1</v>
      </c>
      <c r="P142" s="227">
        <f t="shared" si="35"/>
        <v>8</v>
      </c>
      <c r="Q142" s="229" cm="1">
        <f t="array" ref="Q142">SUMPRODUCT((H_tblBGTage=I142)*(H_tblBGMnt=E142)*H_tblBG%)</f>
        <v>1</v>
      </c>
      <c r="R142" s="227">
        <f t="shared" si="45"/>
        <v>8</v>
      </c>
      <c r="S142" s="233"/>
      <c r="T142" s="233"/>
      <c r="U142" s="232" cm="1">
        <f t="array" ref="U142">SUMPRODUCT((MAI!M_Verweiszeile=$H142)*MAI!M_ProdTag*(MAI!M_Monat=$E142))</f>
        <v>0</v>
      </c>
      <c r="V142" s="232" cm="1">
        <f t="array" ref="V142">SUMPRODUCT((MAI!M_Verweiszeile=$H142)*MAI!M_ProdN1*(MAI!M_Monat=$E142))</f>
        <v>0</v>
      </c>
      <c r="W142" s="232" cm="1">
        <f t="array" ref="W142">SUMPRODUCT((MAI!M_Verweiszeile=$H142)*MAI!M_ProdN2*(MAI!M_Monat=$E142))</f>
        <v>0</v>
      </c>
      <c r="X142" s="232" cm="1">
        <f t="array" ref="X142">SUMPRODUCT((MAI!M_Verweiszeile=$H142)*MAI!M_Reise*(MAI!M_Monat=$E142))</f>
        <v>0</v>
      </c>
      <c r="Y142" s="232" cm="1">
        <f t="array" ref="Y142">SUMPRODUCT((MAI!M_Verweiszeile=$H142)*MAI!M_Reiseabzug*(MAI!M_Monat=$E142))</f>
        <v>0</v>
      </c>
      <c r="Z142" s="232">
        <f t="shared" si="46"/>
        <v>0</v>
      </c>
      <c r="AA142" s="232">
        <f t="shared" si="36"/>
        <v>0</v>
      </c>
      <c r="AB142" s="232">
        <f t="shared" si="37"/>
        <v>0</v>
      </c>
      <c r="AC142" s="232">
        <f t="shared" si="47"/>
        <v>0</v>
      </c>
      <c r="AD142" s="232">
        <f t="shared" si="48"/>
        <v>0</v>
      </c>
      <c r="AE142" s="232">
        <f t="shared" si="49"/>
        <v>0</v>
      </c>
    </row>
    <row r="143" spans="3:31" s="185" customFormat="1" x14ac:dyDescent="0.2">
      <c r="C143" s="128">
        <v>134</v>
      </c>
      <c r="D143" s="186">
        <f t="shared" si="50"/>
        <v>46156</v>
      </c>
      <c r="E143" s="128">
        <f t="shared" si="38"/>
        <v>5</v>
      </c>
      <c r="F143" s="187">
        <f t="shared" si="39"/>
        <v>46156</v>
      </c>
      <c r="G143" s="128">
        <f t="shared" si="40"/>
        <v>20</v>
      </c>
      <c r="H143" s="128">
        <f t="shared" si="41"/>
        <v>14</v>
      </c>
      <c r="I143" s="128">
        <f t="shared" si="42"/>
        <v>4</v>
      </c>
      <c r="J143" s="188">
        <f t="shared" si="43"/>
        <v>46156</v>
      </c>
      <c r="K143" s="128" t="str" cm="1">
        <f t="array" ref="K143">IF(AND(I143&lt;7,INDEX(B_tblFTMatrix,$E143,$H143)="x"),"ft","")</f>
        <v>ft</v>
      </c>
      <c r="L143" s="128"/>
      <c r="M143" s="128"/>
      <c r="N143" s="128">
        <f t="shared" si="34"/>
        <v>1</v>
      </c>
      <c r="O143" s="128">
        <f t="shared" si="44"/>
        <v>1</v>
      </c>
      <c r="P143" s="227">
        <f t="shared" si="35"/>
        <v>8</v>
      </c>
      <c r="Q143" s="229" cm="1">
        <f t="array" ref="Q143">SUMPRODUCT((H_tblBGTage=I143)*(H_tblBGMnt=E143)*H_tblBG%)</f>
        <v>1</v>
      </c>
      <c r="R143" s="227">
        <f t="shared" si="45"/>
        <v>8</v>
      </c>
      <c r="S143" s="233"/>
      <c r="T143" s="233"/>
      <c r="U143" s="232" cm="1">
        <f t="array" ref="U143">SUMPRODUCT((MAI!M_Verweiszeile=$H143)*MAI!M_ProdTag*(MAI!M_Monat=$E143))</f>
        <v>0</v>
      </c>
      <c r="V143" s="232" cm="1">
        <f t="array" ref="V143">SUMPRODUCT((MAI!M_Verweiszeile=$H143)*MAI!M_ProdN1*(MAI!M_Monat=$E143))</f>
        <v>0</v>
      </c>
      <c r="W143" s="232" cm="1">
        <f t="array" ref="W143">SUMPRODUCT((MAI!M_Verweiszeile=$H143)*MAI!M_ProdN2*(MAI!M_Monat=$E143))</f>
        <v>0</v>
      </c>
      <c r="X143" s="232" cm="1">
        <f t="array" ref="X143">SUMPRODUCT((MAI!M_Verweiszeile=$H143)*MAI!M_Reise*(MAI!M_Monat=$E143))</f>
        <v>0</v>
      </c>
      <c r="Y143" s="232" cm="1">
        <f t="array" ref="Y143">SUMPRODUCT((MAI!M_Verweiszeile=$H143)*MAI!M_Reiseabzug*(MAI!M_Monat=$E143))</f>
        <v>0</v>
      </c>
      <c r="Z143" s="232">
        <f t="shared" si="46"/>
        <v>0</v>
      </c>
      <c r="AA143" s="232">
        <f t="shared" si="36"/>
        <v>8</v>
      </c>
      <c r="AB143" s="232">
        <f t="shared" si="37"/>
        <v>0</v>
      </c>
      <c r="AC143" s="232">
        <f t="shared" si="47"/>
        <v>0</v>
      </c>
      <c r="AD143" s="232">
        <f t="shared" si="48"/>
        <v>8</v>
      </c>
      <c r="AE143" s="232">
        <f t="shared" si="49"/>
        <v>8</v>
      </c>
    </row>
    <row r="144" spans="3:31" s="185" customFormat="1" x14ac:dyDescent="0.2">
      <c r="C144" s="128">
        <v>135</v>
      </c>
      <c r="D144" s="186">
        <f t="shared" si="50"/>
        <v>46157</v>
      </c>
      <c r="E144" s="128">
        <f t="shared" si="38"/>
        <v>5</v>
      </c>
      <c r="F144" s="187">
        <f t="shared" si="39"/>
        <v>46157</v>
      </c>
      <c r="G144" s="128">
        <f t="shared" si="40"/>
        <v>20</v>
      </c>
      <c r="H144" s="128">
        <f t="shared" si="41"/>
        <v>15</v>
      </c>
      <c r="I144" s="128">
        <f t="shared" si="42"/>
        <v>5</v>
      </c>
      <c r="J144" s="188">
        <f t="shared" si="43"/>
        <v>46157</v>
      </c>
      <c r="K144" s="128" t="str" cm="1">
        <f t="array" ref="K144">IF(AND(I144&lt;7,INDEX(B_tblFTMatrix,$E144,$H144)="x"),"ft","")</f>
        <v/>
      </c>
      <c r="L144" s="128"/>
      <c r="M144" s="128"/>
      <c r="N144" s="128">
        <f t="shared" si="34"/>
        <v>1</v>
      </c>
      <c r="O144" s="128">
        <f t="shared" si="44"/>
        <v>1</v>
      </c>
      <c r="P144" s="227">
        <f t="shared" si="35"/>
        <v>8</v>
      </c>
      <c r="Q144" s="229" cm="1">
        <f t="array" ref="Q144">SUMPRODUCT((H_tblBGTage=I144)*(H_tblBGMnt=E144)*H_tblBG%)</f>
        <v>1</v>
      </c>
      <c r="R144" s="227">
        <f t="shared" si="45"/>
        <v>8</v>
      </c>
      <c r="S144" s="233"/>
      <c r="T144" s="233"/>
      <c r="U144" s="232" cm="1">
        <f t="array" ref="U144">SUMPRODUCT((MAI!M_Verweiszeile=$H144)*MAI!M_ProdTag*(MAI!M_Monat=$E144))</f>
        <v>0</v>
      </c>
      <c r="V144" s="232" cm="1">
        <f t="array" ref="V144">SUMPRODUCT((MAI!M_Verweiszeile=$H144)*MAI!M_ProdN1*(MAI!M_Monat=$E144))</f>
        <v>0</v>
      </c>
      <c r="W144" s="232" cm="1">
        <f t="array" ref="W144">SUMPRODUCT((MAI!M_Verweiszeile=$H144)*MAI!M_ProdN2*(MAI!M_Monat=$E144))</f>
        <v>0</v>
      </c>
      <c r="X144" s="232" cm="1">
        <f t="array" ref="X144">SUMPRODUCT((MAI!M_Verweiszeile=$H144)*MAI!M_Reise*(MAI!M_Monat=$E144))</f>
        <v>0</v>
      </c>
      <c r="Y144" s="232" cm="1">
        <f t="array" ref="Y144">SUMPRODUCT((MAI!M_Verweiszeile=$H144)*MAI!M_Reiseabzug*(MAI!M_Monat=$E144))</f>
        <v>0</v>
      </c>
      <c r="Z144" s="232">
        <f t="shared" si="46"/>
        <v>0</v>
      </c>
      <c r="AA144" s="232">
        <f t="shared" si="36"/>
        <v>0</v>
      </c>
      <c r="AB144" s="232">
        <f t="shared" si="37"/>
        <v>0</v>
      </c>
      <c r="AC144" s="232">
        <f t="shared" si="47"/>
        <v>0</v>
      </c>
      <c r="AD144" s="232">
        <f t="shared" si="48"/>
        <v>0</v>
      </c>
      <c r="AE144" s="232">
        <f t="shared" si="49"/>
        <v>0</v>
      </c>
    </row>
    <row r="145" spans="3:31" s="185" customFormat="1" x14ac:dyDescent="0.2">
      <c r="C145" s="128">
        <v>136</v>
      </c>
      <c r="D145" s="186">
        <f t="shared" si="50"/>
        <v>46158</v>
      </c>
      <c r="E145" s="128">
        <f t="shared" si="38"/>
        <v>5</v>
      </c>
      <c r="F145" s="187">
        <f t="shared" si="39"/>
        <v>46158</v>
      </c>
      <c r="G145" s="128">
        <f t="shared" si="40"/>
        <v>20</v>
      </c>
      <c r="H145" s="128">
        <f t="shared" si="41"/>
        <v>16</v>
      </c>
      <c r="I145" s="128">
        <f t="shared" si="42"/>
        <v>6</v>
      </c>
      <c r="J145" s="188">
        <f t="shared" si="43"/>
        <v>46158</v>
      </c>
      <c r="K145" s="128" t="str" cm="1">
        <f t="array" ref="K145">IF(AND(I145&lt;7,INDEX(B_tblFTMatrix,$E145,$H145)="x"),"ft","")</f>
        <v/>
      </c>
      <c r="L145" s="128"/>
      <c r="M145" s="128"/>
      <c r="N145" s="128">
        <f t="shared" si="34"/>
        <v>0</v>
      </c>
      <c r="O145" s="128">
        <f t="shared" si="44"/>
        <v>0</v>
      </c>
      <c r="P145" s="227">
        <f t="shared" si="35"/>
        <v>0</v>
      </c>
      <c r="Q145" s="229" cm="1">
        <f t="array" ref="Q145">SUMPRODUCT((H_tblBGTage=I145)*(H_tblBGMnt=E145)*H_tblBG%)</f>
        <v>0</v>
      </c>
      <c r="R145" s="227">
        <f t="shared" si="45"/>
        <v>0</v>
      </c>
      <c r="S145" s="233"/>
      <c r="T145" s="233"/>
      <c r="U145" s="232" cm="1">
        <f t="array" ref="U145">SUMPRODUCT((MAI!M_Verweiszeile=$H145)*MAI!M_ProdTag*(MAI!M_Monat=$E145))</f>
        <v>0</v>
      </c>
      <c r="V145" s="232" cm="1">
        <f t="array" ref="V145">SUMPRODUCT((MAI!M_Verweiszeile=$H145)*MAI!M_ProdN1*(MAI!M_Monat=$E145))</f>
        <v>0</v>
      </c>
      <c r="W145" s="232" cm="1">
        <f t="array" ref="W145">SUMPRODUCT((MAI!M_Verweiszeile=$H145)*MAI!M_ProdN2*(MAI!M_Monat=$E145))</f>
        <v>0</v>
      </c>
      <c r="X145" s="232" cm="1">
        <f t="array" ref="X145">SUMPRODUCT((MAI!M_Verweiszeile=$H145)*MAI!M_Reise*(MAI!M_Monat=$E145))</f>
        <v>0</v>
      </c>
      <c r="Y145" s="232" cm="1">
        <f t="array" ref="Y145">SUMPRODUCT((MAI!M_Verweiszeile=$H145)*MAI!M_Reiseabzug*(MAI!M_Monat=$E145))</f>
        <v>0</v>
      </c>
      <c r="Z145" s="232">
        <f t="shared" si="46"/>
        <v>0</v>
      </c>
      <c r="AA145" s="232">
        <f t="shared" si="36"/>
        <v>0</v>
      </c>
      <c r="AB145" s="232">
        <f t="shared" si="37"/>
        <v>0</v>
      </c>
      <c r="AC145" s="232">
        <f t="shared" si="47"/>
        <v>0</v>
      </c>
      <c r="AD145" s="232">
        <f t="shared" si="48"/>
        <v>0</v>
      </c>
      <c r="AE145" s="232">
        <f t="shared" si="49"/>
        <v>0</v>
      </c>
    </row>
    <row r="146" spans="3:31" s="185" customFormat="1" x14ac:dyDescent="0.2">
      <c r="C146" s="128">
        <v>137</v>
      </c>
      <c r="D146" s="186">
        <f t="shared" si="50"/>
        <v>46159</v>
      </c>
      <c r="E146" s="128">
        <f t="shared" si="38"/>
        <v>5</v>
      </c>
      <c r="F146" s="187">
        <f t="shared" si="39"/>
        <v>46159</v>
      </c>
      <c r="G146" s="128">
        <f t="shared" si="40"/>
        <v>20</v>
      </c>
      <c r="H146" s="128">
        <f t="shared" si="41"/>
        <v>17</v>
      </c>
      <c r="I146" s="128">
        <f t="shared" si="42"/>
        <v>7</v>
      </c>
      <c r="J146" s="188">
        <f t="shared" si="43"/>
        <v>46159</v>
      </c>
      <c r="K146" s="128" t="str" cm="1">
        <f t="array" ref="K146">IF(AND(I146&lt;7,INDEX(B_tblFTMatrix,$E146,$H146)="x"),"ft","")</f>
        <v/>
      </c>
      <c r="L146" s="128"/>
      <c r="M146" s="128"/>
      <c r="N146" s="128">
        <f t="shared" si="34"/>
        <v>0</v>
      </c>
      <c r="O146" s="128">
        <f t="shared" si="44"/>
        <v>0</v>
      </c>
      <c r="P146" s="227">
        <f t="shared" si="35"/>
        <v>0</v>
      </c>
      <c r="Q146" s="229" cm="1">
        <f t="array" ref="Q146">SUMPRODUCT((H_tblBGTage=I146)*(H_tblBGMnt=E146)*H_tblBG%)</f>
        <v>0</v>
      </c>
      <c r="R146" s="227">
        <f t="shared" si="45"/>
        <v>0</v>
      </c>
      <c r="S146" s="233"/>
      <c r="T146" s="233"/>
      <c r="U146" s="232" cm="1">
        <f t="array" ref="U146">SUMPRODUCT((MAI!M_Verweiszeile=$H146)*MAI!M_ProdTag*(MAI!M_Monat=$E146))</f>
        <v>0</v>
      </c>
      <c r="V146" s="232" cm="1">
        <f t="array" ref="V146">SUMPRODUCT((MAI!M_Verweiszeile=$H146)*MAI!M_ProdN1*(MAI!M_Monat=$E146))</f>
        <v>0</v>
      </c>
      <c r="W146" s="232" cm="1">
        <f t="array" ref="W146">SUMPRODUCT((MAI!M_Verweiszeile=$H146)*MAI!M_ProdN2*(MAI!M_Monat=$E146))</f>
        <v>0</v>
      </c>
      <c r="X146" s="232" cm="1">
        <f t="array" ref="X146">SUMPRODUCT((MAI!M_Verweiszeile=$H146)*MAI!M_Reise*(MAI!M_Monat=$E146))</f>
        <v>0</v>
      </c>
      <c r="Y146" s="232" cm="1">
        <f t="array" ref="Y146">SUMPRODUCT((MAI!M_Verweiszeile=$H146)*MAI!M_Reiseabzug*(MAI!M_Monat=$E146))</f>
        <v>0</v>
      </c>
      <c r="Z146" s="232">
        <f t="shared" si="46"/>
        <v>0</v>
      </c>
      <c r="AA146" s="232">
        <f t="shared" si="36"/>
        <v>0</v>
      </c>
      <c r="AB146" s="232">
        <f t="shared" si="37"/>
        <v>0</v>
      </c>
      <c r="AC146" s="232">
        <f t="shared" si="47"/>
        <v>0</v>
      </c>
      <c r="AD146" s="232">
        <f t="shared" si="48"/>
        <v>0</v>
      </c>
      <c r="AE146" s="232">
        <f t="shared" si="49"/>
        <v>0</v>
      </c>
    </row>
    <row r="147" spans="3:31" s="185" customFormat="1" x14ac:dyDescent="0.2">
      <c r="C147" s="128">
        <v>138</v>
      </c>
      <c r="D147" s="186">
        <f t="shared" si="50"/>
        <v>46160</v>
      </c>
      <c r="E147" s="128">
        <f t="shared" si="38"/>
        <v>5</v>
      </c>
      <c r="F147" s="187">
        <f t="shared" si="39"/>
        <v>46160</v>
      </c>
      <c r="G147" s="128">
        <f t="shared" si="40"/>
        <v>21</v>
      </c>
      <c r="H147" s="128">
        <f t="shared" si="41"/>
        <v>18</v>
      </c>
      <c r="I147" s="128">
        <f t="shared" si="42"/>
        <v>1</v>
      </c>
      <c r="J147" s="188">
        <f t="shared" si="43"/>
        <v>46160</v>
      </c>
      <c r="K147" s="128" t="str" cm="1">
        <f t="array" ref="K147">IF(AND(I147&lt;7,INDEX(B_tblFTMatrix,$E147,$H147)="x"),"ft","")</f>
        <v/>
      </c>
      <c r="L147" s="128"/>
      <c r="M147" s="128"/>
      <c r="N147" s="128">
        <f t="shared" si="34"/>
        <v>1</v>
      </c>
      <c r="O147" s="128">
        <f t="shared" si="44"/>
        <v>1</v>
      </c>
      <c r="P147" s="227">
        <f t="shared" si="35"/>
        <v>8</v>
      </c>
      <c r="Q147" s="229" cm="1">
        <f t="array" ref="Q147">SUMPRODUCT((H_tblBGTage=I147)*(H_tblBGMnt=E147)*H_tblBG%)</f>
        <v>1</v>
      </c>
      <c r="R147" s="227">
        <f t="shared" si="45"/>
        <v>8</v>
      </c>
      <c r="S147" s="233"/>
      <c r="T147" s="233"/>
      <c r="U147" s="232" cm="1">
        <f t="array" ref="U147">SUMPRODUCT((MAI!M_Verweiszeile=$H147)*MAI!M_ProdTag*(MAI!M_Monat=$E147))</f>
        <v>0</v>
      </c>
      <c r="V147" s="232" cm="1">
        <f t="array" ref="V147">SUMPRODUCT((MAI!M_Verweiszeile=$H147)*MAI!M_ProdN1*(MAI!M_Monat=$E147))</f>
        <v>0</v>
      </c>
      <c r="W147" s="232" cm="1">
        <f t="array" ref="W147">SUMPRODUCT((MAI!M_Verweiszeile=$H147)*MAI!M_ProdN2*(MAI!M_Monat=$E147))</f>
        <v>0</v>
      </c>
      <c r="X147" s="232" cm="1">
        <f t="array" ref="X147">SUMPRODUCT((MAI!M_Verweiszeile=$H147)*MAI!M_Reise*(MAI!M_Monat=$E147))</f>
        <v>0</v>
      </c>
      <c r="Y147" s="232" cm="1">
        <f t="array" ref="Y147">SUMPRODUCT((MAI!M_Verweiszeile=$H147)*MAI!M_Reiseabzug*(MAI!M_Monat=$E147))</f>
        <v>0</v>
      </c>
      <c r="Z147" s="232">
        <f t="shared" si="46"/>
        <v>0</v>
      </c>
      <c r="AA147" s="232">
        <f t="shared" si="36"/>
        <v>0</v>
      </c>
      <c r="AB147" s="232">
        <f t="shared" si="37"/>
        <v>0</v>
      </c>
      <c r="AC147" s="232">
        <f t="shared" si="47"/>
        <v>0</v>
      </c>
      <c r="AD147" s="232">
        <f t="shared" si="48"/>
        <v>0</v>
      </c>
      <c r="AE147" s="232">
        <f t="shared" si="49"/>
        <v>0</v>
      </c>
    </row>
    <row r="148" spans="3:31" s="185" customFormat="1" x14ac:dyDescent="0.2">
      <c r="C148" s="128">
        <v>139</v>
      </c>
      <c r="D148" s="186">
        <f t="shared" si="50"/>
        <v>46161</v>
      </c>
      <c r="E148" s="128">
        <f t="shared" si="38"/>
        <v>5</v>
      </c>
      <c r="F148" s="187">
        <f t="shared" si="39"/>
        <v>46161</v>
      </c>
      <c r="G148" s="128">
        <f t="shared" si="40"/>
        <v>21</v>
      </c>
      <c r="H148" s="128">
        <f t="shared" si="41"/>
        <v>19</v>
      </c>
      <c r="I148" s="128">
        <f t="shared" si="42"/>
        <v>2</v>
      </c>
      <c r="J148" s="188">
        <f t="shared" si="43"/>
        <v>46161</v>
      </c>
      <c r="K148" s="128" t="str" cm="1">
        <f t="array" ref="K148">IF(AND(I148&lt;7,INDEX(B_tblFTMatrix,$E148,$H148)="x"),"ft","")</f>
        <v/>
      </c>
      <c r="L148" s="128"/>
      <c r="M148" s="128"/>
      <c r="N148" s="128">
        <f t="shared" si="34"/>
        <v>1</v>
      </c>
      <c r="O148" s="128">
        <f t="shared" si="44"/>
        <v>1</v>
      </c>
      <c r="P148" s="227">
        <f t="shared" si="35"/>
        <v>8</v>
      </c>
      <c r="Q148" s="229" cm="1">
        <f t="array" ref="Q148">SUMPRODUCT((H_tblBGTage=I148)*(H_tblBGMnt=E148)*H_tblBG%)</f>
        <v>1</v>
      </c>
      <c r="R148" s="227">
        <f t="shared" si="45"/>
        <v>8</v>
      </c>
      <c r="S148" s="233"/>
      <c r="T148" s="233"/>
      <c r="U148" s="232" cm="1">
        <f t="array" ref="U148">SUMPRODUCT((MAI!M_Verweiszeile=$H148)*MAI!M_ProdTag*(MAI!M_Monat=$E148))</f>
        <v>0</v>
      </c>
      <c r="V148" s="232" cm="1">
        <f t="array" ref="V148">SUMPRODUCT((MAI!M_Verweiszeile=$H148)*MAI!M_ProdN1*(MAI!M_Monat=$E148))</f>
        <v>0</v>
      </c>
      <c r="W148" s="232" cm="1">
        <f t="array" ref="W148">SUMPRODUCT((MAI!M_Verweiszeile=$H148)*MAI!M_ProdN2*(MAI!M_Monat=$E148))</f>
        <v>0</v>
      </c>
      <c r="X148" s="232" cm="1">
        <f t="array" ref="X148">SUMPRODUCT((MAI!M_Verweiszeile=$H148)*MAI!M_Reise*(MAI!M_Monat=$E148))</f>
        <v>0</v>
      </c>
      <c r="Y148" s="232" cm="1">
        <f t="array" ref="Y148">SUMPRODUCT((MAI!M_Verweiszeile=$H148)*MAI!M_Reiseabzug*(MAI!M_Monat=$E148))</f>
        <v>0</v>
      </c>
      <c r="Z148" s="232">
        <f t="shared" si="46"/>
        <v>0</v>
      </c>
      <c r="AA148" s="232">
        <f t="shared" si="36"/>
        <v>0</v>
      </c>
      <c r="AB148" s="232">
        <f t="shared" si="37"/>
        <v>0</v>
      </c>
      <c r="AC148" s="232">
        <f t="shared" si="47"/>
        <v>0</v>
      </c>
      <c r="AD148" s="232">
        <f t="shared" si="48"/>
        <v>0</v>
      </c>
      <c r="AE148" s="232">
        <f t="shared" si="49"/>
        <v>0</v>
      </c>
    </row>
    <row r="149" spans="3:31" s="185" customFormat="1" x14ac:dyDescent="0.2">
      <c r="C149" s="128">
        <v>140</v>
      </c>
      <c r="D149" s="186">
        <f t="shared" si="50"/>
        <v>46162</v>
      </c>
      <c r="E149" s="128">
        <f t="shared" si="38"/>
        <v>5</v>
      </c>
      <c r="F149" s="187">
        <f t="shared" si="39"/>
        <v>46162</v>
      </c>
      <c r="G149" s="128">
        <f t="shared" si="40"/>
        <v>21</v>
      </c>
      <c r="H149" s="128">
        <f t="shared" si="41"/>
        <v>20</v>
      </c>
      <c r="I149" s="128">
        <f t="shared" si="42"/>
        <v>3</v>
      </c>
      <c r="J149" s="188">
        <f t="shared" si="43"/>
        <v>46162</v>
      </c>
      <c r="K149" s="128" t="str" cm="1">
        <f t="array" ref="K149">IF(AND(I149&lt;7,INDEX(B_tblFTMatrix,$E149,$H149)="x"),"ft","")</f>
        <v/>
      </c>
      <c r="L149" s="128"/>
      <c r="M149" s="128"/>
      <c r="N149" s="128">
        <f t="shared" si="34"/>
        <v>1</v>
      </c>
      <c r="O149" s="128">
        <f t="shared" si="44"/>
        <v>1</v>
      </c>
      <c r="P149" s="227">
        <f t="shared" si="35"/>
        <v>8</v>
      </c>
      <c r="Q149" s="229" cm="1">
        <f t="array" ref="Q149">SUMPRODUCT((H_tblBGTage=I149)*(H_tblBGMnt=E149)*H_tblBG%)</f>
        <v>1</v>
      </c>
      <c r="R149" s="227">
        <f t="shared" si="45"/>
        <v>8</v>
      </c>
      <c r="S149" s="233"/>
      <c r="T149" s="233"/>
      <c r="U149" s="232" cm="1">
        <f t="array" ref="U149">SUMPRODUCT((MAI!M_Verweiszeile=$H149)*MAI!M_ProdTag*(MAI!M_Monat=$E149))</f>
        <v>0</v>
      </c>
      <c r="V149" s="232" cm="1">
        <f t="array" ref="V149">SUMPRODUCT((MAI!M_Verweiszeile=$H149)*MAI!M_ProdN1*(MAI!M_Monat=$E149))</f>
        <v>0</v>
      </c>
      <c r="W149" s="232" cm="1">
        <f t="array" ref="W149">SUMPRODUCT((MAI!M_Verweiszeile=$H149)*MAI!M_ProdN2*(MAI!M_Monat=$E149))</f>
        <v>0</v>
      </c>
      <c r="X149" s="232" cm="1">
        <f t="array" ref="X149">SUMPRODUCT((MAI!M_Verweiszeile=$H149)*MAI!M_Reise*(MAI!M_Monat=$E149))</f>
        <v>0</v>
      </c>
      <c r="Y149" s="232" cm="1">
        <f t="array" ref="Y149">SUMPRODUCT((MAI!M_Verweiszeile=$H149)*MAI!M_Reiseabzug*(MAI!M_Monat=$E149))</f>
        <v>0</v>
      </c>
      <c r="Z149" s="232">
        <f t="shared" si="46"/>
        <v>0</v>
      </c>
      <c r="AA149" s="232">
        <f t="shared" si="36"/>
        <v>0</v>
      </c>
      <c r="AB149" s="232">
        <f t="shared" si="37"/>
        <v>0</v>
      </c>
      <c r="AC149" s="232">
        <f t="shared" si="47"/>
        <v>0</v>
      </c>
      <c r="AD149" s="232">
        <f t="shared" si="48"/>
        <v>0</v>
      </c>
      <c r="AE149" s="232">
        <f t="shared" si="49"/>
        <v>0</v>
      </c>
    </row>
    <row r="150" spans="3:31" s="185" customFormat="1" x14ac:dyDescent="0.2">
      <c r="C150" s="128">
        <v>141</v>
      </c>
      <c r="D150" s="186">
        <f t="shared" si="50"/>
        <v>46163</v>
      </c>
      <c r="E150" s="128">
        <f t="shared" si="38"/>
        <v>5</v>
      </c>
      <c r="F150" s="187">
        <f t="shared" si="39"/>
        <v>46163</v>
      </c>
      <c r="G150" s="128">
        <f t="shared" si="40"/>
        <v>21</v>
      </c>
      <c r="H150" s="128">
        <f t="shared" si="41"/>
        <v>21</v>
      </c>
      <c r="I150" s="128">
        <f t="shared" si="42"/>
        <v>4</v>
      </c>
      <c r="J150" s="188">
        <f t="shared" si="43"/>
        <v>46163</v>
      </c>
      <c r="K150" s="128" t="str" cm="1">
        <f t="array" ref="K150">IF(AND(I150&lt;7,INDEX(B_tblFTMatrix,$E150,$H150)="x"),"ft","")</f>
        <v/>
      </c>
      <c r="L150" s="128"/>
      <c r="M150" s="128"/>
      <c r="N150" s="128">
        <f t="shared" si="34"/>
        <v>1</v>
      </c>
      <c r="O150" s="128">
        <f t="shared" si="44"/>
        <v>1</v>
      </c>
      <c r="P150" s="227">
        <f t="shared" si="35"/>
        <v>8</v>
      </c>
      <c r="Q150" s="229" cm="1">
        <f t="array" ref="Q150">SUMPRODUCT((H_tblBGTage=I150)*(H_tblBGMnt=E150)*H_tblBG%)</f>
        <v>1</v>
      </c>
      <c r="R150" s="227">
        <f t="shared" si="45"/>
        <v>8</v>
      </c>
      <c r="S150" s="233"/>
      <c r="T150" s="233"/>
      <c r="U150" s="232" cm="1">
        <f t="array" ref="U150">SUMPRODUCT((MAI!M_Verweiszeile=$H150)*MAI!M_ProdTag*(MAI!M_Monat=$E150))</f>
        <v>0</v>
      </c>
      <c r="V150" s="232" cm="1">
        <f t="array" ref="V150">SUMPRODUCT((MAI!M_Verweiszeile=$H150)*MAI!M_ProdN1*(MAI!M_Monat=$E150))</f>
        <v>0</v>
      </c>
      <c r="W150" s="232" cm="1">
        <f t="array" ref="W150">SUMPRODUCT((MAI!M_Verweiszeile=$H150)*MAI!M_ProdN2*(MAI!M_Monat=$E150))</f>
        <v>0</v>
      </c>
      <c r="X150" s="232" cm="1">
        <f t="array" ref="X150">SUMPRODUCT((MAI!M_Verweiszeile=$H150)*MAI!M_Reise*(MAI!M_Monat=$E150))</f>
        <v>0</v>
      </c>
      <c r="Y150" s="232" cm="1">
        <f t="array" ref="Y150">SUMPRODUCT((MAI!M_Verweiszeile=$H150)*MAI!M_Reiseabzug*(MAI!M_Monat=$E150))</f>
        <v>0</v>
      </c>
      <c r="Z150" s="232">
        <f t="shared" si="46"/>
        <v>0</v>
      </c>
      <c r="AA150" s="232">
        <f t="shared" si="36"/>
        <v>0</v>
      </c>
      <c r="AB150" s="232">
        <f t="shared" si="37"/>
        <v>0</v>
      </c>
      <c r="AC150" s="232">
        <f t="shared" si="47"/>
        <v>0</v>
      </c>
      <c r="AD150" s="232">
        <f t="shared" si="48"/>
        <v>0</v>
      </c>
      <c r="AE150" s="232">
        <f t="shared" si="49"/>
        <v>0</v>
      </c>
    </row>
    <row r="151" spans="3:31" s="185" customFormat="1" x14ac:dyDescent="0.2">
      <c r="C151" s="128">
        <v>142</v>
      </c>
      <c r="D151" s="186">
        <f t="shared" si="50"/>
        <v>46164</v>
      </c>
      <c r="E151" s="128">
        <f t="shared" si="38"/>
        <v>5</v>
      </c>
      <c r="F151" s="187">
        <f t="shared" si="39"/>
        <v>46164</v>
      </c>
      <c r="G151" s="128">
        <f t="shared" si="40"/>
        <v>21</v>
      </c>
      <c r="H151" s="128">
        <f t="shared" si="41"/>
        <v>22</v>
      </c>
      <c r="I151" s="128">
        <f t="shared" si="42"/>
        <v>5</v>
      </c>
      <c r="J151" s="188">
        <f t="shared" si="43"/>
        <v>46164</v>
      </c>
      <c r="K151" s="128" t="str" cm="1">
        <f t="array" ref="K151">IF(AND(I151&lt;7,INDEX(B_tblFTMatrix,$E151,$H151)="x"),"ft","")</f>
        <v/>
      </c>
      <c r="L151" s="128"/>
      <c r="M151" s="128"/>
      <c r="N151" s="128">
        <f t="shared" si="34"/>
        <v>1</v>
      </c>
      <c r="O151" s="128">
        <f t="shared" si="44"/>
        <v>1</v>
      </c>
      <c r="P151" s="227">
        <f t="shared" si="35"/>
        <v>8</v>
      </c>
      <c r="Q151" s="229" cm="1">
        <f t="array" ref="Q151">SUMPRODUCT((H_tblBGTage=I151)*(H_tblBGMnt=E151)*H_tblBG%)</f>
        <v>1</v>
      </c>
      <c r="R151" s="227">
        <f t="shared" si="45"/>
        <v>8</v>
      </c>
      <c r="S151" s="233"/>
      <c r="T151" s="233"/>
      <c r="U151" s="232" cm="1">
        <f t="array" ref="U151">SUMPRODUCT((MAI!M_Verweiszeile=$H151)*MAI!M_ProdTag*(MAI!M_Monat=$E151))</f>
        <v>0</v>
      </c>
      <c r="V151" s="232" cm="1">
        <f t="array" ref="V151">SUMPRODUCT((MAI!M_Verweiszeile=$H151)*MAI!M_ProdN1*(MAI!M_Monat=$E151))</f>
        <v>0</v>
      </c>
      <c r="W151" s="232" cm="1">
        <f t="array" ref="W151">SUMPRODUCT((MAI!M_Verweiszeile=$H151)*MAI!M_ProdN2*(MAI!M_Monat=$E151))</f>
        <v>0</v>
      </c>
      <c r="X151" s="232" cm="1">
        <f t="array" ref="X151">SUMPRODUCT((MAI!M_Verweiszeile=$H151)*MAI!M_Reise*(MAI!M_Monat=$E151))</f>
        <v>0</v>
      </c>
      <c r="Y151" s="232" cm="1">
        <f t="array" ref="Y151">SUMPRODUCT((MAI!M_Verweiszeile=$H151)*MAI!M_Reiseabzug*(MAI!M_Monat=$E151))</f>
        <v>0</v>
      </c>
      <c r="Z151" s="232">
        <f t="shared" si="46"/>
        <v>0</v>
      </c>
      <c r="AA151" s="232">
        <f t="shared" si="36"/>
        <v>0</v>
      </c>
      <c r="AB151" s="232">
        <f t="shared" si="37"/>
        <v>0</v>
      </c>
      <c r="AC151" s="232">
        <f t="shared" si="47"/>
        <v>0</v>
      </c>
      <c r="AD151" s="232">
        <f t="shared" si="48"/>
        <v>0</v>
      </c>
      <c r="AE151" s="232">
        <f t="shared" si="49"/>
        <v>0</v>
      </c>
    </row>
    <row r="152" spans="3:31" s="185" customFormat="1" x14ac:dyDescent="0.2">
      <c r="C152" s="128">
        <v>143</v>
      </c>
      <c r="D152" s="186">
        <f t="shared" si="50"/>
        <v>46165</v>
      </c>
      <c r="E152" s="128">
        <f t="shared" si="38"/>
        <v>5</v>
      </c>
      <c r="F152" s="187">
        <f t="shared" si="39"/>
        <v>46165</v>
      </c>
      <c r="G152" s="128">
        <f t="shared" si="40"/>
        <v>21</v>
      </c>
      <c r="H152" s="128">
        <f t="shared" si="41"/>
        <v>23</v>
      </c>
      <c r="I152" s="128">
        <f t="shared" si="42"/>
        <v>6</v>
      </c>
      <c r="J152" s="188">
        <f t="shared" si="43"/>
        <v>46165</v>
      </c>
      <c r="K152" s="128" t="str" cm="1">
        <f t="array" ref="K152">IF(AND(I152&lt;7,INDEX(B_tblFTMatrix,$E152,$H152)="x"),"ft","")</f>
        <v/>
      </c>
      <c r="L152" s="128"/>
      <c r="M152" s="128"/>
      <c r="N152" s="128">
        <f t="shared" si="34"/>
        <v>0</v>
      </c>
      <c r="O152" s="128">
        <f t="shared" si="44"/>
        <v>0</v>
      </c>
      <c r="P152" s="227">
        <f t="shared" si="35"/>
        <v>0</v>
      </c>
      <c r="Q152" s="229" cm="1">
        <f t="array" ref="Q152">SUMPRODUCT((H_tblBGTage=I152)*(H_tblBGMnt=E152)*H_tblBG%)</f>
        <v>0</v>
      </c>
      <c r="R152" s="227">
        <f t="shared" si="45"/>
        <v>0</v>
      </c>
      <c r="S152" s="233"/>
      <c r="T152" s="233"/>
      <c r="U152" s="232" cm="1">
        <f t="array" ref="U152">SUMPRODUCT((MAI!M_Verweiszeile=$H152)*MAI!M_ProdTag*(MAI!M_Monat=$E152))</f>
        <v>0</v>
      </c>
      <c r="V152" s="232" cm="1">
        <f t="array" ref="V152">SUMPRODUCT((MAI!M_Verweiszeile=$H152)*MAI!M_ProdN1*(MAI!M_Monat=$E152))</f>
        <v>0</v>
      </c>
      <c r="W152" s="232" cm="1">
        <f t="array" ref="W152">SUMPRODUCT((MAI!M_Verweiszeile=$H152)*MAI!M_ProdN2*(MAI!M_Monat=$E152))</f>
        <v>0</v>
      </c>
      <c r="X152" s="232" cm="1">
        <f t="array" ref="X152">SUMPRODUCT((MAI!M_Verweiszeile=$H152)*MAI!M_Reise*(MAI!M_Monat=$E152))</f>
        <v>0</v>
      </c>
      <c r="Y152" s="232" cm="1">
        <f t="array" ref="Y152">SUMPRODUCT((MAI!M_Verweiszeile=$H152)*MAI!M_Reiseabzug*(MAI!M_Monat=$E152))</f>
        <v>0</v>
      </c>
      <c r="Z152" s="232">
        <f t="shared" si="46"/>
        <v>0</v>
      </c>
      <c r="AA152" s="232">
        <f t="shared" si="36"/>
        <v>0</v>
      </c>
      <c r="AB152" s="232">
        <f t="shared" si="37"/>
        <v>0</v>
      </c>
      <c r="AC152" s="232">
        <f t="shared" si="47"/>
        <v>0</v>
      </c>
      <c r="AD152" s="232">
        <f t="shared" si="48"/>
        <v>0</v>
      </c>
      <c r="AE152" s="232">
        <f t="shared" si="49"/>
        <v>0</v>
      </c>
    </row>
    <row r="153" spans="3:31" s="185" customFormat="1" x14ac:dyDescent="0.2">
      <c r="C153" s="128">
        <v>144</v>
      </c>
      <c r="D153" s="186">
        <f t="shared" si="50"/>
        <v>46166</v>
      </c>
      <c r="E153" s="128">
        <f t="shared" si="38"/>
        <v>5</v>
      </c>
      <c r="F153" s="187">
        <f t="shared" si="39"/>
        <v>46166</v>
      </c>
      <c r="G153" s="128">
        <f t="shared" si="40"/>
        <v>21</v>
      </c>
      <c r="H153" s="128">
        <f t="shared" si="41"/>
        <v>24</v>
      </c>
      <c r="I153" s="128">
        <f t="shared" si="42"/>
        <v>7</v>
      </c>
      <c r="J153" s="188">
        <f t="shared" si="43"/>
        <v>46166</v>
      </c>
      <c r="K153" s="128" t="str" cm="1">
        <f t="array" ref="K153">IF(AND(I153&lt;7,INDEX(B_tblFTMatrix,$E153,$H153)="x"),"ft","")</f>
        <v/>
      </c>
      <c r="L153" s="128"/>
      <c r="M153" s="128"/>
      <c r="N153" s="128">
        <f t="shared" si="34"/>
        <v>0</v>
      </c>
      <c r="O153" s="128">
        <f t="shared" si="44"/>
        <v>0</v>
      </c>
      <c r="P153" s="227">
        <f t="shared" si="35"/>
        <v>0</v>
      </c>
      <c r="Q153" s="229" cm="1">
        <f t="array" ref="Q153">SUMPRODUCT((H_tblBGTage=I153)*(H_tblBGMnt=E153)*H_tblBG%)</f>
        <v>0</v>
      </c>
      <c r="R153" s="227">
        <f t="shared" si="45"/>
        <v>0</v>
      </c>
      <c r="S153" s="233"/>
      <c r="T153" s="233"/>
      <c r="U153" s="232" cm="1">
        <f t="array" ref="U153">SUMPRODUCT((MAI!M_Verweiszeile=$H153)*MAI!M_ProdTag*(MAI!M_Monat=$E153))</f>
        <v>0</v>
      </c>
      <c r="V153" s="232" cm="1">
        <f t="array" ref="V153">SUMPRODUCT((MAI!M_Verweiszeile=$H153)*MAI!M_ProdN1*(MAI!M_Monat=$E153))</f>
        <v>0</v>
      </c>
      <c r="W153" s="232" cm="1">
        <f t="array" ref="W153">SUMPRODUCT((MAI!M_Verweiszeile=$H153)*MAI!M_ProdN2*(MAI!M_Monat=$E153))</f>
        <v>0</v>
      </c>
      <c r="X153" s="232" cm="1">
        <f t="array" ref="X153">SUMPRODUCT((MAI!M_Verweiszeile=$H153)*MAI!M_Reise*(MAI!M_Monat=$E153))</f>
        <v>0</v>
      </c>
      <c r="Y153" s="232" cm="1">
        <f t="array" ref="Y153">SUMPRODUCT((MAI!M_Verweiszeile=$H153)*MAI!M_Reiseabzug*(MAI!M_Monat=$E153))</f>
        <v>0</v>
      </c>
      <c r="Z153" s="232">
        <f t="shared" si="46"/>
        <v>0</v>
      </c>
      <c r="AA153" s="232">
        <f t="shared" si="36"/>
        <v>0</v>
      </c>
      <c r="AB153" s="232">
        <f t="shared" si="37"/>
        <v>0</v>
      </c>
      <c r="AC153" s="232">
        <f t="shared" si="47"/>
        <v>0</v>
      </c>
      <c r="AD153" s="232">
        <f t="shared" si="48"/>
        <v>0</v>
      </c>
      <c r="AE153" s="232">
        <f t="shared" si="49"/>
        <v>0</v>
      </c>
    </row>
    <row r="154" spans="3:31" s="185" customFormat="1" x14ac:dyDescent="0.2">
      <c r="C154" s="128">
        <v>145</v>
      </c>
      <c r="D154" s="186">
        <f t="shared" si="50"/>
        <v>46167</v>
      </c>
      <c r="E154" s="128">
        <f t="shared" si="38"/>
        <v>5</v>
      </c>
      <c r="F154" s="187">
        <f t="shared" si="39"/>
        <v>46167</v>
      </c>
      <c r="G154" s="128">
        <f t="shared" si="40"/>
        <v>22</v>
      </c>
      <c r="H154" s="128">
        <f t="shared" si="41"/>
        <v>25</v>
      </c>
      <c r="I154" s="128">
        <f t="shared" si="42"/>
        <v>1</v>
      </c>
      <c r="J154" s="188">
        <f t="shared" si="43"/>
        <v>46167</v>
      </c>
      <c r="K154" s="128" t="str" cm="1">
        <f t="array" ref="K154">IF(AND(I154&lt;7,INDEX(B_tblFTMatrix,$E154,$H154)="x"),"ft","")</f>
        <v>ft</v>
      </c>
      <c r="L154" s="128"/>
      <c r="M154" s="128"/>
      <c r="N154" s="128">
        <f t="shared" si="34"/>
        <v>1</v>
      </c>
      <c r="O154" s="128">
        <f t="shared" si="44"/>
        <v>1</v>
      </c>
      <c r="P154" s="227">
        <f t="shared" si="35"/>
        <v>8</v>
      </c>
      <c r="Q154" s="229" cm="1">
        <f t="array" ref="Q154">SUMPRODUCT((H_tblBGTage=I154)*(H_tblBGMnt=E154)*H_tblBG%)</f>
        <v>1</v>
      </c>
      <c r="R154" s="227">
        <f t="shared" si="45"/>
        <v>8</v>
      </c>
      <c r="S154" s="233"/>
      <c r="T154" s="233"/>
      <c r="U154" s="232" cm="1">
        <f t="array" ref="U154">SUMPRODUCT((MAI!M_Verweiszeile=$H154)*MAI!M_ProdTag*(MAI!M_Monat=$E154))</f>
        <v>0</v>
      </c>
      <c r="V154" s="232" cm="1">
        <f t="array" ref="V154">SUMPRODUCT((MAI!M_Verweiszeile=$H154)*MAI!M_ProdN1*(MAI!M_Monat=$E154))</f>
        <v>0</v>
      </c>
      <c r="W154" s="232" cm="1">
        <f t="array" ref="W154">SUMPRODUCT((MAI!M_Verweiszeile=$H154)*MAI!M_ProdN2*(MAI!M_Monat=$E154))</f>
        <v>0</v>
      </c>
      <c r="X154" s="232" cm="1">
        <f t="array" ref="X154">SUMPRODUCT((MAI!M_Verweiszeile=$H154)*MAI!M_Reise*(MAI!M_Monat=$E154))</f>
        <v>0</v>
      </c>
      <c r="Y154" s="232" cm="1">
        <f t="array" ref="Y154">SUMPRODUCT((MAI!M_Verweiszeile=$H154)*MAI!M_Reiseabzug*(MAI!M_Monat=$E154))</f>
        <v>0</v>
      </c>
      <c r="Z154" s="232">
        <f t="shared" si="46"/>
        <v>0</v>
      </c>
      <c r="AA154" s="232">
        <f t="shared" si="36"/>
        <v>8</v>
      </c>
      <c r="AB154" s="232">
        <f t="shared" si="37"/>
        <v>0</v>
      </c>
      <c r="AC154" s="232">
        <f t="shared" si="47"/>
        <v>0</v>
      </c>
      <c r="AD154" s="232">
        <f t="shared" si="48"/>
        <v>8</v>
      </c>
      <c r="AE154" s="232">
        <f t="shared" si="49"/>
        <v>8</v>
      </c>
    </row>
    <row r="155" spans="3:31" s="185" customFormat="1" x14ac:dyDescent="0.2">
      <c r="C155" s="128">
        <v>146</v>
      </c>
      <c r="D155" s="186">
        <f t="shared" si="50"/>
        <v>46168</v>
      </c>
      <c r="E155" s="128">
        <f t="shared" si="38"/>
        <v>5</v>
      </c>
      <c r="F155" s="187">
        <f t="shared" si="39"/>
        <v>46168</v>
      </c>
      <c r="G155" s="128">
        <f t="shared" si="40"/>
        <v>22</v>
      </c>
      <c r="H155" s="128">
        <f t="shared" si="41"/>
        <v>26</v>
      </c>
      <c r="I155" s="128">
        <f t="shared" si="42"/>
        <v>2</v>
      </c>
      <c r="J155" s="188">
        <f t="shared" si="43"/>
        <v>46168</v>
      </c>
      <c r="K155" s="128" t="str" cm="1">
        <f t="array" ref="K155">IF(AND(I155&lt;7,INDEX(B_tblFTMatrix,$E155,$H155)="x"),"ft","")</f>
        <v/>
      </c>
      <c r="L155" s="128"/>
      <c r="M155" s="128"/>
      <c r="N155" s="128">
        <f t="shared" si="34"/>
        <v>1</v>
      </c>
      <c r="O155" s="128">
        <f t="shared" si="44"/>
        <v>1</v>
      </c>
      <c r="P155" s="227">
        <f t="shared" si="35"/>
        <v>8</v>
      </c>
      <c r="Q155" s="229" cm="1">
        <f t="array" ref="Q155">SUMPRODUCT((H_tblBGTage=I155)*(H_tblBGMnt=E155)*H_tblBG%)</f>
        <v>1</v>
      </c>
      <c r="R155" s="227">
        <f t="shared" si="45"/>
        <v>8</v>
      </c>
      <c r="S155" s="233"/>
      <c r="T155" s="233"/>
      <c r="U155" s="232" cm="1">
        <f t="array" ref="U155">SUMPRODUCT((MAI!M_Verweiszeile=$H155)*MAI!M_ProdTag*(MAI!M_Monat=$E155))</f>
        <v>0</v>
      </c>
      <c r="V155" s="232" cm="1">
        <f t="array" ref="V155">SUMPRODUCT((MAI!M_Verweiszeile=$H155)*MAI!M_ProdN1*(MAI!M_Monat=$E155))</f>
        <v>0</v>
      </c>
      <c r="W155" s="232" cm="1">
        <f t="array" ref="W155">SUMPRODUCT((MAI!M_Verweiszeile=$H155)*MAI!M_ProdN2*(MAI!M_Monat=$E155))</f>
        <v>0</v>
      </c>
      <c r="X155" s="232" cm="1">
        <f t="array" ref="X155">SUMPRODUCT((MAI!M_Verweiszeile=$H155)*MAI!M_Reise*(MAI!M_Monat=$E155))</f>
        <v>0</v>
      </c>
      <c r="Y155" s="232" cm="1">
        <f t="array" ref="Y155">SUMPRODUCT((MAI!M_Verweiszeile=$H155)*MAI!M_Reiseabzug*(MAI!M_Monat=$E155))</f>
        <v>0</v>
      </c>
      <c r="Z155" s="232">
        <f t="shared" si="46"/>
        <v>0</v>
      </c>
      <c r="AA155" s="232">
        <f t="shared" si="36"/>
        <v>0</v>
      </c>
      <c r="AB155" s="232">
        <f t="shared" si="37"/>
        <v>0</v>
      </c>
      <c r="AC155" s="232">
        <f t="shared" si="47"/>
        <v>0</v>
      </c>
      <c r="AD155" s="232">
        <f t="shared" si="48"/>
        <v>0</v>
      </c>
      <c r="AE155" s="232">
        <f t="shared" si="49"/>
        <v>0</v>
      </c>
    </row>
    <row r="156" spans="3:31" s="185" customFormat="1" x14ac:dyDescent="0.2">
      <c r="C156" s="128">
        <v>147</v>
      </c>
      <c r="D156" s="186">
        <f t="shared" si="50"/>
        <v>46169</v>
      </c>
      <c r="E156" s="128">
        <f t="shared" si="38"/>
        <v>5</v>
      </c>
      <c r="F156" s="187">
        <f t="shared" si="39"/>
        <v>46169</v>
      </c>
      <c r="G156" s="128">
        <f t="shared" si="40"/>
        <v>22</v>
      </c>
      <c r="H156" s="128">
        <f t="shared" si="41"/>
        <v>27</v>
      </c>
      <c r="I156" s="128">
        <f t="shared" si="42"/>
        <v>3</v>
      </c>
      <c r="J156" s="188">
        <f t="shared" si="43"/>
        <v>46169</v>
      </c>
      <c r="K156" s="128" t="str" cm="1">
        <f t="array" ref="K156">IF(AND(I156&lt;7,INDEX(B_tblFTMatrix,$E156,$H156)="x"),"ft","")</f>
        <v/>
      </c>
      <c r="L156" s="128"/>
      <c r="M156" s="128"/>
      <c r="N156" s="128">
        <f t="shared" si="34"/>
        <v>1</v>
      </c>
      <c r="O156" s="128">
        <f t="shared" si="44"/>
        <v>1</v>
      </c>
      <c r="P156" s="227">
        <f t="shared" si="35"/>
        <v>8</v>
      </c>
      <c r="Q156" s="229" cm="1">
        <f t="array" ref="Q156">SUMPRODUCT((H_tblBGTage=I156)*(H_tblBGMnt=E156)*H_tblBG%)</f>
        <v>1</v>
      </c>
      <c r="R156" s="227">
        <f t="shared" si="45"/>
        <v>8</v>
      </c>
      <c r="S156" s="233"/>
      <c r="T156" s="233"/>
      <c r="U156" s="232" cm="1">
        <f t="array" ref="U156">SUMPRODUCT((MAI!M_Verweiszeile=$H156)*MAI!M_ProdTag*(MAI!M_Monat=$E156))</f>
        <v>0</v>
      </c>
      <c r="V156" s="232" cm="1">
        <f t="array" ref="V156">SUMPRODUCT((MAI!M_Verweiszeile=$H156)*MAI!M_ProdN1*(MAI!M_Monat=$E156))</f>
        <v>0</v>
      </c>
      <c r="W156" s="232" cm="1">
        <f t="array" ref="W156">SUMPRODUCT((MAI!M_Verweiszeile=$H156)*MAI!M_ProdN2*(MAI!M_Monat=$E156))</f>
        <v>0</v>
      </c>
      <c r="X156" s="232" cm="1">
        <f t="array" ref="X156">SUMPRODUCT((MAI!M_Verweiszeile=$H156)*MAI!M_Reise*(MAI!M_Monat=$E156))</f>
        <v>0</v>
      </c>
      <c r="Y156" s="232" cm="1">
        <f t="array" ref="Y156">SUMPRODUCT((MAI!M_Verweiszeile=$H156)*MAI!M_Reiseabzug*(MAI!M_Monat=$E156))</f>
        <v>0</v>
      </c>
      <c r="Z156" s="232">
        <f t="shared" si="46"/>
        <v>0</v>
      </c>
      <c r="AA156" s="232">
        <f t="shared" si="36"/>
        <v>0</v>
      </c>
      <c r="AB156" s="232">
        <f t="shared" si="37"/>
        <v>0</v>
      </c>
      <c r="AC156" s="232">
        <f t="shared" si="47"/>
        <v>0</v>
      </c>
      <c r="AD156" s="232">
        <f t="shared" si="48"/>
        <v>0</v>
      </c>
      <c r="AE156" s="232">
        <f t="shared" si="49"/>
        <v>0</v>
      </c>
    </row>
    <row r="157" spans="3:31" s="185" customFormat="1" x14ac:dyDescent="0.2">
      <c r="C157" s="128">
        <v>148</v>
      </c>
      <c r="D157" s="186">
        <f t="shared" si="50"/>
        <v>46170</v>
      </c>
      <c r="E157" s="128">
        <f t="shared" si="38"/>
        <v>5</v>
      </c>
      <c r="F157" s="187">
        <f t="shared" si="39"/>
        <v>46170</v>
      </c>
      <c r="G157" s="128">
        <f t="shared" si="40"/>
        <v>22</v>
      </c>
      <c r="H157" s="128">
        <f t="shared" si="41"/>
        <v>28</v>
      </c>
      <c r="I157" s="128">
        <f t="shared" si="42"/>
        <v>4</v>
      </c>
      <c r="J157" s="188">
        <f t="shared" si="43"/>
        <v>46170</v>
      </c>
      <c r="K157" s="128" t="str" cm="1">
        <f t="array" ref="K157">IF(AND(I157&lt;7,INDEX(B_tblFTMatrix,$E157,$H157)="x"),"ft","")</f>
        <v/>
      </c>
      <c r="L157" s="128"/>
      <c r="M157" s="128"/>
      <c r="N157" s="128">
        <f t="shared" si="34"/>
        <v>1</v>
      </c>
      <c r="O157" s="128">
        <f t="shared" si="44"/>
        <v>1</v>
      </c>
      <c r="P157" s="227">
        <f t="shared" si="35"/>
        <v>8</v>
      </c>
      <c r="Q157" s="229" cm="1">
        <f t="array" ref="Q157">SUMPRODUCT((H_tblBGTage=I157)*(H_tblBGMnt=E157)*H_tblBG%)</f>
        <v>1</v>
      </c>
      <c r="R157" s="227">
        <f t="shared" si="45"/>
        <v>8</v>
      </c>
      <c r="S157" s="233"/>
      <c r="T157" s="233"/>
      <c r="U157" s="232" cm="1">
        <f t="array" ref="U157">SUMPRODUCT((MAI!M_Verweiszeile=$H157)*MAI!M_ProdTag*(MAI!M_Monat=$E157))</f>
        <v>0</v>
      </c>
      <c r="V157" s="232" cm="1">
        <f t="array" ref="V157">SUMPRODUCT((MAI!M_Verweiszeile=$H157)*MAI!M_ProdN1*(MAI!M_Monat=$E157))</f>
        <v>0</v>
      </c>
      <c r="W157" s="232" cm="1">
        <f t="array" ref="W157">SUMPRODUCT((MAI!M_Verweiszeile=$H157)*MAI!M_ProdN2*(MAI!M_Monat=$E157))</f>
        <v>0</v>
      </c>
      <c r="X157" s="232" cm="1">
        <f t="array" ref="X157">SUMPRODUCT((MAI!M_Verweiszeile=$H157)*MAI!M_Reise*(MAI!M_Monat=$E157))</f>
        <v>0</v>
      </c>
      <c r="Y157" s="232" cm="1">
        <f t="array" ref="Y157">SUMPRODUCT((MAI!M_Verweiszeile=$H157)*MAI!M_Reiseabzug*(MAI!M_Monat=$E157))</f>
        <v>0</v>
      </c>
      <c r="Z157" s="232">
        <f t="shared" si="46"/>
        <v>0</v>
      </c>
      <c r="AA157" s="232">
        <f t="shared" si="36"/>
        <v>0</v>
      </c>
      <c r="AB157" s="232">
        <f t="shared" si="37"/>
        <v>0</v>
      </c>
      <c r="AC157" s="232">
        <f t="shared" si="47"/>
        <v>0</v>
      </c>
      <c r="AD157" s="232">
        <f t="shared" si="48"/>
        <v>0</v>
      </c>
      <c r="AE157" s="232">
        <f t="shared" si="49"/>
        <v>0</v>
      </c>
    </row>
    <row r="158" spans="3:31" s="185" customFormat="1" x14ac:dyDescent="0.2">
      <c r="C158" s="128">
        <v>149</v>
      </c>
      <c r="D158" s="186">
        <f t="shared" si="50"/>
        <v>46171</v>
      </c>
      <c r="E158" s="128">
        <f t="shared" si="38"/>
        <v>5</v>
      </c>
      <c r="F158" s="187">
        <f t="shared" si="39"/>
        <v>46171</v>
      </c>
      <c r="G158" s="128">
        <f t="shared" si="40"/>
        <v>22</v>
      </c>
      <c r="H158" s="128">
        <f t="shared" si="41"/>
        <v>29</v>
      </c>
      <c r="I158" s="128">
        <f t="shared" si="42"/>
        <v>5</v>
      </c>
      <c r="J158" s="188">
        <f t="shared" si="43"/>
        <v>46171</v>
      </c>
      <c r="K158" s="128" t="str" cm="1">
        <f t="array" ref="K158">IF(AND(I158&lt;7,INDEX(B_tblFTMatrix,$E158,$H158)="x"),"ft","")</f>
        <v/>
      </c>
      <c r="L158" s="128"/>
      <c r="M158" s="128"/>
      <c r="N158" s="128">
        <f t="shared" si="34"/>
        <v>1</v>
      </c>
      <c r="O158" s="128">
        <f t="shared" si="44"/>
        <v>1</v>
      </c>
      <c r="P158" s="227">
        <f t="shared" si="35"/>
        <v>8</v>
      </c>
      <c r="Q158" s="229" cm="1">
        <f t="array" ref="Q158">SUMPRODUCT((H_tblBGTage=I158)*(H_tblBGMnt=E158)*H_tblBG%)</f>
        <v>1</v>
      </c>
      <c r="R158" s="227">
        <f t="shared" si="45"/>
        <v>8</v>
      </c>
      <c r="S158" s="233"/>
      <c r="T158" s="233"/>
      <c r="U158" s="232" cm="1">
        <f t="array" ref="U158">SUMPRODUCT((MAI!M_Verweiszeile=$H158)*MAI!M_ProdTag*(MAI!M_Monat=$E158))</f>
        <v>0</v>
      </c>
      <c r="V158" s="232" cm="1">
        <f t="array" ref="V158">SUMPRODUCT((MAI!M_Verweiszeile=$H158)*MAI!M_ProdN1*(MAI!M_Monat=$E158))</f>
        <v>0</v>
      </c>
      <c r="W158" s="232" cm="1">
        <f t="array" ref="W158">SUMPRODUCT((MAI!M_Verweiszeile=$H158)*MAI!M_ProdN2*(MAI!M_Monat=$E158))</f>
        <v>0</v>
      </c>
      <c r="X158" s="232" cm="1">
        <f t="array" ref="X158">SUMPRODUCT((MAI!M_Verweiszeile=$H158)*MAI!M_Reise*(MAI!M_Monat=$E158))</f>
        <v>0</v>
      </c>
      <c r="Y158" s="232" cm="1">
        <f t="array" ref="Y158">SUMPRODUCT((MAI!M_Verweiszeile=$H158)*MAI!M_Reiseabzug*(MAI!M_Monat=$E158))</f>
        <v>0</v>
      </c>
      <c r="Z158" s="232">
        <f t="shared" si="46"/>
        <v>0</v>
      </c>
      <c r="AA158" s="232">
        <f t="shared" si="36"/>
        <v>0</v>
      </c>
      <c r="AB158" s="232">
        <f t="shared" si="37"/>
        <v>0</v>
      </c>
      <c r="AC158" s="232">
        <f t="shared" si="47"/>
        <v>0</v>
      </c>
      <c r="AD158" s="232">
        <f t="shared" si="48"/>
        <v>0</v>
      </c>
      <c r="AE158" s="232">
        <f t="shared" si="49"/>
        <v>0</v>
      </c>
    </row>
    <row r="159" spans="3:31" s="185" customFormat="1" x14ac:dyDescent="0.2">
      <c r="C159" s="128">
        <v>150</v>
      </c>
      <c r="D159" s="186">
        <f t="shared" si="50"/>
        <v>46172</v>
      </c>
      <c r="E159" s="128">
        <f t="shared" si="38"/>
        <v>5</v>
      </c>
      <c r="F159" s="187">
        <f t="shared" si="39"/>
        <v>46172</v>
      </c>
      <c r="G159" s="128">
        <f t="shared" si="40"/>
        <v>22</v>
      </c>
      <c r="H159" s="128">
        <f t="shared" si="41"/>
        <v>30</v>
      </c>
      <c r="I159" s="128">
        <f t="shared" si="42"/>
        <v>6</v>
      </c>
      <c r="J159" s="188">
        <f t="shared" si="43"/>
        <v>46172</v>
      </c>
      <c r="K159" s="128" t="str" cm="1">
        <f t="array" ref="K159">IF(AND(I159&lt;7,INDEX(B_tblFTMatrix,$E159,$H159)="x"),"ft","")</f>
        <v/>
      </c>
      <c r="L159" s="128"/>
      <c r="M159" s="128"/>
      <c r="N159" s="128">
        <f t="shared" si="34"/>
        <v>0</v>
      </c>
      <c r="O159" s="128">
        <f t="shared" si="44"/>
        <v>0</v>
      </c>
      <c r="P159" s="227">
        <f t="shared" si="35"/>
        <v>0</v>
      </c>
      <c r="Q159" s="229" cm="1">
        <f t="array" ref="Q159">SUMPRODUCT((H_tblBGTage=I159)*(H_tblBGMnt=E159)*H_tblBG%)</f>
        <v>0</v>
      </c>
      <c r="R159" s="227">
        <f t="shared" si="45"/>
        <v>0</v>
      </c>
      <c r="S159" s="233"/>
      <c r="T159" s="233"/>
      <c r="U159" s="232" cm="1">
        <f t="array" ref="U159">SUMPRODUCT((MAI!M_Verweiszeile=$H159)*MAI!M_ProdTag*(MAI!M_Monat=$E159))</f>
        <v>0</v>
      </c>
      <c r="V159" s="232" cm="1">
        <f t="array" ref="V159">SUMPRODUCT((MAI!M_Verweiszeile=$H159)*MAI!M_ProdN1*(MAI!M_Monat=$E159))</f>
        <v>0</v>
      </c>
      <c r="W159" s="232" cm="1">
        <f t="array" ref="W159">SUMPRODUCT((MAI!M_Verweiszeile=$H159)*MAI!M_ProdN2*(MAI!M_Monat=$E159))</f>
        <v>0</v>
      </c>
      <c r="X159" s="232" cm="1">
        <f t="array" ref="X159">SUMPRODUCT((MAI!M_Verweiszeile=$H159)*MAI!M_Reise*(MAI!M_Monat=$E159))</f>
        <v>0</v>
      </c>
      <c r="Y159" s="232" cm="1">
        <f t="array" ref="Y159">SUMPRODUCT((MAI!M_Verweiszeile=$H159)*MAI!M_Reiseabzug*(MAI!M_Monat=$E159))</f>
        <v>0</v>
      </c>
      <c r="Z159" s="232">
        <f t="shared" si="46"/>
        <v>0</v>
      </c>
      <c r="AA159" s="232">
        <f t="shared" si="36"/>
        <v>0</v>
      </c>
      <c r="AB159" s="232">
        <f t="shared" si="37"/>
        <v>0</v>
      </c>
      <c r="AC159" s="232">
        <f t="shared" si="47"/>
        <v>0</v>
      </c>
      <c r="AD159" s="232">
        <f t="shared" si="48"/>
        <v>0</v>
      </c>
      <c r="AE159" s="232">
        <f t="shared" si="49"/>
        <v>0</v>
      </c>
    </row>
    <row r="160" spans="3:31" s="185" customFormat="1" x14ac:dyDescent="0.2">
      <c r="C160" s="128">
        <v>151</v>
      </c>
      <c r="D160" s="186">
        <f t="shared" si="50"/>
        <v>46173</v>
      </c>
      <c r="E160" s="128">
        <f t="shared" si="38"/>
        <v>5</v>
      </c>
      <c r="F160" s="187">
        <f t="shared" si="39"/>
        <v>46173</v>
      </c>
      <c r="G160" s="128">
        <f t="shared" si="40"/>
        <v>22</v>
      </c>
      <c r="H160" s="128">
        <f t="shared" si="41"/>
        <v>31</v>
      </c>
      <c r="I160" s="128">
        <f t="shared" si="42"/>
        <v>7</v>
      </c>
      <c r="J160" s="188">
        <f t="shared" si="43"/>
        <v>46173</v>
      </c>
      <c r="K160" s="128" t="str" cm="1">
        <f t="array" ref="K160">IF(AND(I160&lt;7,INDEX(B_tblFTMatrix,$E160,$H160)="x"),"ft","")</f>
        <v/>
      </c>
      <c r="L160" s="128"/>
      <c r="M160" s="128"/>
      <c r="N160" s="128">
        <f t="shared" si="34"/>
        <v>0</v>
      </c>
      <c r="O160" s="128">
        <f t="shared" si="44"/>
        <v>0</v>
      </c>
      <c r="P160" s="227">
        <f t="shared" si="35"/>
        <v>0</v>
      </c>
      <c r="Q160" s="229" cm="1">
        <f t="array" ref="Q160">SUMPRODUCT((H_tblBGTage=I160)*(H_tblBGMnt=E160)*H_tblBG%)</f>
        <v>0</v>
      </c>
      <c r="R160" s="227">
        <f t="shared" si="45"/>
        <v>0</v>
      </c>
      <c r="S160" s="233"/>
      <c r="T160" s="233"/>
      <c r="U160" s="232" cm="1">
        <f t="array" ref="U160">SUMPRODUCT((MAI!M_Verweiszeile=$H160)*MAI!M_ProdTag*(MAI!M_Monat=$E160))</f>
        <v>0</v>
      </c>
      <c r="V160" s="232" cm="1">
        <f t="array" ref="V160">SUMPRODUCT((MAI!M_Verweiszeile=$H160)*MAI!M_ProdN1*(MAI!M_Monat=$E160))</f>
        <v>0</v>
      </c>
      <c r="W160" s="232" cm="1">
        <f t="array" ref="W160">SUMPRODUCT((MAI!M_Verweiszeile=$H160)*MAI!M_ProdN2*(MAI!M_Monat=$E160))</f>
        <v>0</v>
      </c>
      <c r="X160" s="232" cm="1">
        <f t="array" ref="X160">SUMPRODUCT((MAI!M_Verweiszeile=$H160)*MAI!M_Reise*(MAI!M_Monat=$E160))</f>
        <v>0</v>
      </c>
      <c r="Y160" s="232" cm="1">
        <f t="array" ref="Y160">SUMPRODUCT((MAI!M_Verweiszeile=$H160)*MAI!M_Reiseabzug*(MAI!M_Monat=$E160))</f>
        <v>0</v>
      </c>
      <c r="Z160" s="232">
        <f t="shared" si="46"/>
        <v>0</v>
      </c>
      <c r="AA160" s="232">
        <f t="shared" si="36"/>
        <v>0</v>
      </c>
      <c r="AB160" s="232">
        <f t="shared" si="37"/>
        <v>0</v>
      </c>
      <c r="AC160" s="232">
        <f t="shared" si="47"/>
        <v>0</v>
      </c>
      <c r="AD160" s="232">
        <f t="shared" si="48"/>
        <v>0</v>
      </c>
      <c r="AE160" s="232">
        <f t="shared" si="49"/>
        <v>0</v>
      </c>
    </row>
    <row r="161" spans="3:31" s="185" customFormat="1" x14ac:dyDescent="0.2">
      <c r="C161" s="128">
        <v>152</v>
      </c>
      <c r="D161" s="186">
        <f t="shared" si="50"/>
        <v>46174</v>
      </c>
      <c r="E161" s="128">
        <f t="shared" si="38"/>
        <v>6</v>
      </c>
      <c r="F161" s="187">
        <f t="shared" si="39"/>
        <v>46174</v>
      </c>
      <c r="G161" s="128">
        <f t="shared" si="40"/>
        <v>23</v>
      </c>
      <c r="H161" s="128">
        <f t="shared" si="41"/>
        <v>1</v>
      </c>
      <c r="I161" s="128">
        <f t="shared" si="42"/>
        <v>1</v>
      </c>
      <c r="J161" s="188">
        <f t="shared" si="43"/>
        <v>46174</v>
      </c>
      <c r="K161" s="128" t="str" cm="1">
        <f t="array" ref="K161">IF(AND(I161&lt;7,INDEX(B_tblFTMatrix,$E161,$H161)="x"),"ft","")</f>
        <v/>
      </c>
      <c r="L161" s="128"/>
      <c r="M161" s="128"/>
      <c r="N161" s="128">
        <f t="shared" si="34"/>
        <v>1</v>
      </c>
      <c r="O161" s="128">
        <f t="shared" si="44"/>
        <v>1</v>
      </c>
      <c r="P161" s="227">
        <f t="shared" si="35"/>
        <v>8</v>
      </c>
      <c r="Q161" s="229" cm="1">
        <f t="array" ref="Q161">SUMPRODUCT((H_tblBGTage=I161)*(H_tblBGMnt=E161)*H_tblBG%)</f>
        <v>1</v>
      </c>
      <c r="R161" s="227">
        <f t="shared" si="45"/>
        <v>8</v>
      </c>
      <c r="S161" s="233"/>
      <c r="T161" s="233"/>
      <c r="U161" s="311" cm="1">
        <f t="array" ref="U161">SUMPRODUCT((MAI!M_Verweiszeile=$H161)*MAI!M_ProdTag*(MAI!M_Monat=$E161))+SUMPRODUCT((JUN!M_Verweiszeile=$H161)*JUN!M_ProdTag*(JUN!M_Monat=$E161))</f>
        <v>0</v>
      </c>
      <c r="V161" s="232" cm="1">
        <f t="array" ref="V161">SUMPRODUCT((MAI!M_Verweiszeile=$H161)*MAI!M_ProdN1*(MAI!M_Monat=$E161))+SUMPRODUCT((JUN!M_Verweiszeile=$H161)*JUN!M_ProdN1*(JUN!M_Monat=$E161))</f>
        <v>0</v>
      </c>
      <c r="W161" s="232" cm="1">
        <f t="array" ref="W161">SUMPRODUCT((MAI!M_Verweiszeile=$H161)*MAI!M_ProdN2*(MAI!M_Monat=$E161))+SUMPRODUCT((JUN!M_Verweiszeile=$H161)*JUN!M_ProdN2*(JUN!M_Monat=$E161))</f>
        <v>0</v>
      </c>
      <c r="X161" s="232" cm="1">
        <f t="array" ref="X161">SUMPRODUCT((MAI!M_Verweiszeile=$H161)*MAI!M_Reise*(MAI!M_Monat=$E161))+SUMPRODUCT((JUN!M_Verweiszeile=$H161)*JUN!M_Reise*(JUN!M_Monat=$E161))</f>
        <v>0</v>
      </c>
      <c r="Y161" s="232" cm="1">
        <f t="array" ref="Y161">SUMPRODUCT((MAI!M_Verweiszeile=$H161)*MAI!M_Reiseabzug*(MAI!M_Monat=$E161))+SUMPRODUCT((JUN!M_Verweiszeile=$H161)*JUN!M_Reiseabzug*(JUN!M_Monat=$E161))</f>
        <v>0</v>
      </c>
      <c r="Z161" s="232">
        <f t="shared" si="46"/>
        <v>0</v>
      </c>
      <c r="AA161" s="232">
        <f t="shared" si="36"/>
        <v>0</v>
      </c>
      <c r="AB161" s="232">
        <f t="shared" si="37"/>
        <v>0</v>
      </c>
      <c r="AC161" s="232">
        <f t="shared" si="47"/>
        <v>0</v>
      </c>
      <c r="AD161" s="232">
        <f t="shared" si="48"/>
        <v>0</v>
      </c>
      <c r="AE161" s="232">
        <f t="shared" si="49"/>
        <v>0</v>
      </c>
    </row>
    <row r="162" spans="3:31" s="185" customFormat="1" x14ac:dyDescent="0.2">
      <c r="C162" s="128">
        <v>153</v>
      </c>
      <c r="D162" s="186">
        <f t="shared" si="50"/>
        <v>46175</v>
      </c>
      <c r="E162" s="128">
        <f t="shared" si="38"/>
        <v>6</v>
      </c>
      <c r="F162" s="187">
        <f t="shared" si="39"/>
        <v>46175</v>
      </c>
      <c r="G162" s="128">
        <f t="shared" si="40"/>
        <v>23</v>
      </c>
      <c r="H162" s="128">
        <f t="shared" si="41"/>
        <v>2</v>
      </c>
      <c r="I162" s="128">
        <f t="shared" si="42"/>
        <v>2</v>
      </c>
      <c r="J162" s="188">
        <f t="shared" si="43"/>
        <v>46175</v>
      </c>
      <c r="K162" s="128" t="str" cm="1">
        <f t="array" ref="K162">IF(AND(I162&lt;7,INDEX(B_tblFTMatrix,$E162,$H162)="x"),"ft","")</f>
        <v/>
      </c>
      <c r="L162" s="128"/>
      <c r="M162" s="128"/>
      <c r="N162" s="128">
        <f t="shared" si="34"/>
        <v>1</v>
      </c>
      <c r="O162" s="128">
        <f t="shared" si="44"/>
        <v>1</v>
      </c>
      <c r="P162" s="227">
        <f t="shared" si="35"/>
        <v>8</v>
      </c>
      <c r="Q162" s="229" cm="1">
        <f t="array" ref="Q162">SUMPRODUCT((H_tblBGTage=I162)*(H_tblBGMnt=E162)*H_tblBG%)</f>
        <v>1</v>
      </c>
      <c r="R162" s="227">
        <f t="shared" si="45"/>
        <v>8</v>
      </c>
      <c r="S162" s="233"/>
      <c r="T162" s="233"/>
      <c r="U162" s="311" cm="1">
        <f t="array" ref="U162">SUMPRODUCT((JUN!M_Verweiszeile=$H162)*JUN!M_ProdTag*(JUN!M_Monat=$E162))</f>
        <v>0</v>
      </c>
      <c r="V162" s="232" cm="1">
        <f t="array" ref="V162">SUMPRODUCT((JUN!M_Verweiszeile=$H162)*JUN!M_ProdN1*(JUN!M_Monat=$E162))</f>
        <v>0</v>
      </c>
      <c r="W162" s="232" cm="1">
        <f t="array" ref="W162">SUMPRODUCT((JUN!M_Verweiszeile=$H162)*JUN!M_ProdN2*(JUN!M_Monat=$E162))</f>
        <v>0</v>
      </c>
      <c r="X162" s="232" cm="1">
        <f t="array" ref="X162">SUMPRODUCT((JUN!M_Verweiszeile=$H162)*JUN!M_Reise*(JUN!M_Monat=$E162))</f>
        <v>0</v>
      </c>
      <c r="Y162" s="232" cm="1">
        <f t="array" ref="Y162">SUMPRODUCT((JUN!M_Verweiszeile=$H162)*JUN!M_Reiseabzug*(JUN!M_Monat=$E162))</f>
        <v>0</v>
      </c>
      <c r="Z162" s="232">
        <f t="shared" si="46"/>
        <v>0</v>
      </c>
      <c r="AA162" s="232">
        <f t="shared" si="36"/>
        <v>0</v>
      </c>
      <c r="AB162" s="232">
        <f t="shared" si="37"/>
        <v>0</v>
      </c>
      <c r="AC162" s="232">
        <f t="shared" si="47"/>
        <v>0</v>
      </c>
      <c r="AD162" s="232">
        <f t="shared" si="48"/>
        <v>0</v>
      </c>
      <c r="AE162" s="232">
        <f t="shared" si="49"/>
        <v>0</v>
      </c>
    </row>
    <row r="163" spans="3:31" s="185" customFormat="1" x14ac:dyDescent="0.2">
      <c r="C163" s="128">
        <v>154</v>
      </c>
      <c r="D163" s="186">
        <f t="shared" si="50"/>
        <v>46176</v>
      </c>
      <c r="E163" s="128">
        <f t="shared" si="38"/>
        <v>6</v>
      </c>
      <c r="F163" s="187">
        <f t="shared" si="39"/>
        <v>46176</v>
      </c>
      <c r="G163" s="128">
        <f t="shared" si="40"/>
        <v>23</v>
      </c>
      <c r="H163" s="128">
        <f t="shared" si="41"/>
        <v>3</v>
      </c>
      <c r="I163" s="128">
        <f t="shared" si="42"/>
        <v>3</v>
      </c>
      <c r="J163" s="188">
        <f t="shared" si="43"/>
        <v>46176</v>
      </c>
      <c r="K163" s="128" t="str" cm="1">
        <f t="array" ref="K163">IF(AND(I163&lt;7,INDEX(B_tblFTMatrix,$E163,$H163)="x"),"ft","")</f>
        <v/>
      </c>
      <c r="L163" s="128"/>
      <c r="M163" s="128"/>
      <c r="N163" s="128">
        <f t="shared" si="34"/>
        <v>1</v>
      </c>
      <c r="O163" s="128">
        <f t="shared" si="44"/>
        <v>1</v>
      </c>
      <c r="P163" s="227">
        <f t="shared" si="35"/>
        <v>8</v>
      </c>
      <c r="Q163" s="229" cm="1">
        <f t="array" ref="Q163">SUMPRODUCT((H_tblBGTage=I163)*(H_tblBGMnt=E163)*H_tblBG%)</f>
        <v>1</v>
      </c>
      <c r="R163" s="227">
        <f t="shared" si="45"/>
        <v>8</v>
      </c>
      <c r="S163" s="233"/>
      <c r="T163" s="233"/>
      <c r="U163" s="232" cm="1">
        <f t="array" ref="U163">SUMPRODUCT((JUN!M_Verweiszeile=$H163)*JUN!M_ProdTag*(JUN!M_Monat=$E163))</f>
        <v>0</v>
      </c>
      <c r="V163" s="232" cm="1">
        <f t="array" ref="V163">SUMPRODUCT((JUN!M_Verweiszeile=$H163)*JUN!M_ProdN1*(JUN!M_Monat=$E163))</f>
        <v>0</v>
      </c>
      <c r="W163" s="232" cm="1">
        <f t="array" ref="W163">SUMPRODUCT((JUN!M_Verweiszeile=$H163)*JUN!M_ProdN2*(JUN!M_Monat=$E163))</f>
        <v>0</v>
      </c>
      <c r="X163" s="232" cm="1">
        <f t="array" ref="X163">SUMPRODUCT((JUN!M_Verweiszeile=$H163)*JUN!M_Reise*(JUN!M_Monat=$E163))</f>
        <v>0</v>
      </c>
      <c r="Y163" s="232" cm="1">
        <f t="array" ref="Y163">SUMPRODUCT((JUN!M_Verweiszeile=$H163)*JUN!M_Reiseabzug*(JUN!M_Monat=$E163))</f>
        <v>0</v>
      </c>
      <c r="Z163" s="232">
        <f t="shared" si="46"/>
        <v>0</v>
      </c>
      <c r="AA163" s="232">
        <f t="shared" si="36"/>
        <v>0</v>
      </c>
      <c r="AB163" s="232">
        <f t="shared" si="37"/>
        <v>0</v>
      </c>
      <c r="AC163" s="232">
        <f t="shared" si="47"/>
        <v>0</v>
      </c>
      <c r="AD163" s="232">
        <f t="shared" si="48"/>
        <v>0</v>
      </c>
      <c r="AE163" s="232">
        <f t="shared" si="49"/>
        <v>0</v>
      </c>
    </row>
    <row r="164" spans="3:31" s="185" customFormat="1" x14ac:dyDescent="0.2">
      <c r="C164" s="128">
        <v>155</v>
      </c>
      <c r="D164" s="186">
        <f t="shared" si="50"/>
        <v>46177</v>
      </c>
      <c r="E164" s="128">
        <f t="shared" si="38"/>
        <v>6</v>
      </c>
      <c r="F164" s="187">
        <f t="shared" si="39"/>
        <v>46177</v>
      </c>
      <c r="G164" s="128">
        <f t="shared" si="40"/>
        <v>23</v>
      </c>
      <c r="H164" s="128">
        <f t="shared" si="41"/>
        <v>4</v>
      </c>
      <c r="I164" s="128">
        <f t="shared" si="42"/>
        <v>4</v>
      </c>
      <c r="J164" s="188">
        <f t="shared" si="43"/>
        <v>46177</v>
      </c>
      <c r="K164" s="128" t="str" cm="1">
        <f t="array" ref="K164">IF(AND(I164&lt;7,INDEX(B_tblFTMatrix,$E164,$H164)="x"),"ft","")</f>
        <v/>
      </c>
      <c r="L164" s="128"/>
      <c r="M164" s="128"/>
      <c r="N164" s="128">
        <f t="shared" si="34"/>
        <v>1</v>
      </c>
      <c r="O164" s="128">
        <f t="shared" si="44"/>
        <v>1</v>
      </c>
      <c r="P164" s="227">
        <f t="shared" si="35"/>
        <v>8</v>
      </c>
      <c r="Q164" s="229" cm="1">
        <f t="array" ref="Q164">SUMPRODUCT((H_tblBGTage=I164)*(H_tblBGMnt=E164)*H_tblBG%)</f>
        <v>1</v>
      </c>
      <c r="R164" s="227">
        <f t="shared" si="45"/>
        <v>8</v>
      </c>
      <c r="S164" s="233"/>
      <c r="T164" s="233"/>
      <c r="U164" s="232" cm="1">
        <f t="array" ref="U164">SUMPRODUCT((JUN!M_Verweiszeile=$H164)*JUN!M_ProdTag*(JUN!M_Monat=$E164))</f>
        <v>0</v>
      </c>
      <c r="V164" s="232" cm="1">
        <f t="array" ref="V164">SUMPRODUCT((JUN!M_Verweiszeile=$H164)*JUN!M_ProdN1*(JUN!M_Monat=$E164))</f>
        <v>0</v>
      </c>
      <c r="W164" s="232" cm="1">
        <f t="array" ref="W164">SUMPRODUCT((JUN!M_Verweiszeile=$H164)*JUN!M_ProdN2*(JUN!M_Monat=$E164))</f>
        <v>0</v>
      </c>
      <c r="X164" s="232" cm="1">
        <f t="array" ref="X164">SUMPRODUCT((JUN!M_Verweiszeile=$H164)*JUN!M_Reise*(JUN!M_Monat=$E164))</f>
        <v>0</v>
      </c>
      <c r="Y164" s="232" cm="1">
        <f t="array" ref="Y164">SUMPRODUCT((JUN!M_Verweiszeile=$H164)*JUN!M_Reiseabzug*(JUN!M_Monat=$E164))</f>
        <v>0</v>
      </c>
      <c r="Z164" s="232">
        <f t="shared" si="46"/>
        <v>0</v>
      </c>
      <c r="AA164" s="232">
        <f t="shared" si="36"/>
        <v>0</v>
      </c>
      <c r="AB164" s="232">
        <f t="shared" si="37"/>
        <v>0</v>
      </c>
      <c r="AC164" s="232">
        <f t="shared" si="47"/>
        <v>0</v>
      </c>
      <c r="AD164" s="232">
        <f t="shared" si="48"/>
        <v>0</v>
      </c>
      <c r="AE164" s="232">
        <f t="shared" si="49"/>
        <v>0</v>
      </c>
    </row>
    <row r="165" spans="3:31" s="185" customFormat="1" x14ac:dyDescent="0.2">
      <c r="C165" s="128">
        <v>156</v>
      </c>
      <c r="D165" s="186">
        <f t="shared" si="50"/>
        <v>46178</v>
      </c>
      <c r="E165" s="128">
        <f t="shared" si="38"/>
        <v>6</v>
      </c>
      <c r="F165" s="187">
        <f t="shared" si="39"/>
        <v>46178</v>
      </c>
      <c r="G165" s="128">
        <f t="shared" si="40"/>
        <v>23</v>
      </c>
      <c r="H165" s="128">
        <f t="shared" si="41"/>
        <v>5</v>
      </c>
      <c r="I165" s="128">
        <f t="shared" si="42"/>
        <v>5</v>
      </c>
      <c r="J165" s="188">
        <f t="shared" si="43"/>
        <v>46178</v>
      </c>
      <c r="K165" s="128" t="str" cm="1">
        <f t="array" ref="K165">IF(AND(I165&lt;7,INDEX(B_tblFTMatrix,$E165,$H165)="x"),"ft","")</f>
        <v/>
      </c>
      <c r="L165" s="128"/>
      <c r="M165" s="128"/>
      <c r="N165" s="128">
        <f t="shared" si="34"/>
        <v>1</v>
      </c>
      <c r="O165" s="128">
        <f t="shared" si="44"/>
        <v>1</v>
      </c>
      <c r="P165" s="227">
        <f t="shared" si="35"/>
        <v>8</v>
      </c>
      <c r="Q165" s="229" cm="1">
        <f t="array" ref="Q165">SUMPRODUCT((H_tblBGTage=I165)*(H_tblBGMnt=E165)*H_tblBG%)</f>
        <v>1</v>
      </c>
      <c r="R165" s="227">
        <f t="shared" si="45"/>
        <v>8</v>
      </c>
      <c r="S165" s="233"/>
      <c r="T165" s="233"/>
      <c r="U165" s="232" cm="1">
        <f t="array" ref="U165">SUMPRODUCT((JUN!M_Verweiszeile=$H165)*JUN!M_ProdTag*(JUN!M_Monat=$E165))</f>
        <v>0</v>
      </c>
      <c r="V165" s="232" cm="1">
        <f t="array" ref="V165">SUMPRODUCT((JUN!M_Verweiszeile=$H165)*JUN!M_ProdN1*(JUN!M_Monat=$E165))</f>
        <v>0</v>
      </c>
      <c r="W165" s="232" cm="1">
        <f t="array" ref="W165">SUMPRODUCT((JUN!M_Verweiszeile=$H165)*JUN!M_ProdN2*(JUN!M_Monat=$E165))</f>
        <v>0</v>
      </c>
      <c r="X165" s="232" cm="1">
        <f t="array" ref="X165">SUMPRODUCT((JUN!M_Verweiszeile=$H165)*JUN!M_Reise*(JUN!M_Monat=$E165))</f>
        <v>0</v>
      </c>
      <c r="Y165" s="232" cm="1">
        <f t="array" ref="Y165">SUMPRODUCT((JUN!M_Verweiszeile=$H165)*JUN!M_Reiseabzug*(JUN!M_Monat=$E165))</f>
        <v>0</v>
      </c>
      <c r="Z165" s="232">
        <f t="shared" si="46"/>
        <v>0</v>
      </c>
      <c r="AA165" s="232">
        <f t="shared" si="36"/>
        <v>0</v>
      </c>
      <c r="AB165" s="232">
        <f t="shared" si="37"/>
        <v>0</v>
      </c>
      <c r="AC165" s="232">
        <f t="shared" si="47"/>
        <v>0</v>
      </c>
      <c r="AD165" s="232">
        <f t="shared" si="48"/>
        <v>0</v>
      </c>
      <c r="AE165" s="232">
        <f t="shared" si="49"/>
        <v>0</v>
      </c>
    </row>
    <row r="166" spans="3:31" s="185" customFormat="1" x14ac:dyDescent="0.2">
      <c r="C166" s="128">
        <v>157</v>
      </c>
      <c r="D166" s="186">
        <f t="shared" si="50"/>
        <v>46179</v>
      </c>
      <c r="E166" s="128">
        <f t="shared" si="38"/>
        <v>6</v>
      </c>
      <c r="F166" s="187">
        <f t="shared" si="39"/>
        <v>46179</v>
      </c>
      <c r="G166" s="128">
        <f t="shared" si="40"/>
        <v>23</v>
      </c>
      <c r="H166" s="128">
        <f t="shared" si="41"/>
        <v>6</v>
      </c>
      <c r="I166" s="128">
        <f t="shared" si="42"/>
        <v>6</v>
      </c>
      <c r="J166" s="188">
        <f t="shared" si="43"/>
        <v>46179</v>
      </c>
      <c r="K166" s="128" t="str" cm="1">
        <f t="array" ref="K166">IF(AND(I166&lt;7,INDEX(B_tblFTMatrix,$E166,$H166)="x"),"ft","")</f>
        <v/>
      </c>
      <c r="L166" s="128"/>
      <c r="M166" s="128"/>
      <c r="N166" s="128">
        <f t="shared" si="34"/>
        <v>0</v>
      </c>
      <c r="O166" s="128">
        <f t="shared" si="44"/>
        <v>0</v>
      </c>
      <c r="P166" s="227">
        <f t="shared" si="35"/>
        <v>0</v>
      </c>
      <c r="Q166" s="229" cm="1">
        <f t="array" ref="Q166">SUMPRODUCT((H_tblBGTage=I166)*(H_tblBGMnt=E166)*H_tblBG%)</f>
        <v>0</v>
      </c>
      <c r="R166" s="227">
        <f t="shared" si="45"/>
        <v>0</v>
      </c>
      <c r="S166" s="233"/>
      <c r="T166" s="233"/>
      <c r="U166" s="232" cm="1">
        <f t="array" ref="U166">SUMPRODUCT((JUN!M_Verweiszeile=$H166)*JUN!M_ProdTag*(JUN!M_Monat=$E166))</f>
        <v>0</v>
      </c>
      <c r="V166" s="232" cm="1">
        <f t="array" ref="V166">SUMPRODUCT((JUN!M_Verweiszeile=$H166)*JUN!M_ProdN1*(JUN!M_Monat=$E166))</f>
        <v>0</v>
      </c>
      <c r="W166" s="232" cm="1">
        <f t="array" ref="W166">SUMPRODUCT((JUN!M_Verweiszeile=$H166)*JUN!M_ProdN2*(JUN!M_Monat=$E166))</f>
        <v>0</v>
      </c>
      <c r="X166" s="232" cm="1">
        <f t="array" ref="X166">SUMPRODUCT((JUN!M_Verweiszeile=$H166)*JUN!M_Reise*(JUN!M_Monat=$E166))</f>
        <v>0</v>
      </c>
      <c r="Y166" s="232" cm="1">
        <f t="array" ref="Y166">SUMPRODUCT((JUN!M_Verweiszeile=$H166)*JUN!M_Reiseabzug*(JUN!M_Monat=$E166))</f>
        <v>0</v>
      </c>
      <c r="Z166" s="232">
        <f t="shared" si="46"/>
        <v>0</v>
      </c>
      <c r="AA166" s="232">
        <f t="shared" si="36"/>
        <v>0</v>
      </c>
      <c r="AB166" s="232">
        <f t="shared" si="37"/>
        <v>0</v>
      </c>
      <c r="AC166" s="232">
        <f t="shared" si="47"/>
        <v>0</v>
      </c>
      <c r="AD166" s="232">
        <f t="shared" si="48"/>
        <v>0</v>
      </c>
      <c r="AE166" s="232">
        <f t="shared" si="49"/>
        <v>0</v>
      </c>
    </row>
    <row r="167" spans="3:31" s="185" customFormat="1" x14ac:dyDescent="0.2">
      <c r="C167" s="128">
        <v>158</v>
      </c>
      <c r="D167" s="186">
        <f t="shared" si="50"/>
        <v>46180</v>
      </c>
      <c r="E167" s="128">
        <f t="shared" si="38"/>
        <v>6</v>
      </c>
      <c r="F167" s="187">
        <f t="shared" si="39"/>
        <v>46180</v>
      </c>
      <c r="G167" s="128">
        <f t="shared" si="40"/>
        <v>23</v>
      </c>
      <c r="H167" s="128">
        <f t="shared" si="41"/>
        <v>7</v>
      </c>
      <c r="I167" s="128">
        <f t="shared" si="42"/>
        <v>7</v>
      </c>
      <c r="J167" s="188">
        <f t="shared" si="43"/>
        <v>46180</v>
      </c>
      <c r="K167" s="128" t="str" cm="1">
        <f t="array" ref="K167">IF(AND(I167&lt;7,INDEX(B_tblFTMatrix,$E167,$H167)="x"),"ft","")</f>
        <v/>
      </c>
      <c r="L167" s="128"/>
      <c r="M167" s="128"/>
      <c r="N167" s="128">
        <f t="shared" si="34"/>
        <v>0</v>
      </c>
      <c r="O167" s="128">
        <f t="shared" si="44"/>
        <v>0</v>
      </c>
      <c r="P167" s="227">
        <f t="shared" si="35"/>
        <v>0</v>
      </c>
      <c r="Q167" s="229" cm="1">
        <f t="array" ref="Q167">SUMPRODUCT((H_tblBGTage=I167)*(H_tblBGMnt=E167)*H_tblBG%)</f>
        <v>0</v>
      </c>
      <c r="R167" s="227">
        <f t="shared" si="45"/>
        <v>0</v>
      </c>
      <c r="S167" s="233"/>
      <c r="T167" s="233"/>
      <c r="U167" s="232" cm="1">
        <f t="array" ref="U167">SUMPRODUCT((JUN!M_Verweiszeile=$H167)*JUN!M_ProdTag*(JUN!M_Monat=$E167))</f>
        <v>0</v>
      </c>
      <c r="V167" s="232" cm="1">
        <f t="array" ref="V167">SUMPRODUCT((JUN!M_Verweiszeile=$H167)*JUN!M_ProdN1*(JUN!M_Monat=$E167))</f>
        <v>0</v>
      </c>
      <c r="W167" s="232" cm="1">
        <f t="array" ref="W167">SUMPRODUCT((JUN!M_Verweiszeile=$H167)*JUN!M_ProdN2*(JUN!M_Monat=$E167))</f>
        <v>0</v>
      </c>
      <c r="X167" s="232" cm="1">
        <f t="array" ref="X167">SUMPRODUCT((JUN!M_Verweiszeile=$H167)*JUN!M_Reise*(JUN!M_Monat=$E167))</f>
        <v>0</v>
      </c>
      <c r="Y167" s="232" cm="1">
        <f t="array" ref="Y167">SUMPRODUCT((JUN!M_Verweiszeile=$H167)*JUN!M_Reiseabzug*(JUN!M_Monat=$E167))</f>
        <v>0</v>
      </c>
      <c r="Z167" s="232">
        <f t="shared" si="46"/>
        <v>0</v>
      </c>
      <c r="AA167" s="232">
        <f t="shared" si="36"/>
        <v>0</v>
      </c>
      <c r="AB167" s="232">
        <f t="shared" si="37"/>
        <v>0</v>
      </c>
      <c r="AC167" s="232">
        <f t="shared" si="47"/>
        <v>0</v>
      </c>
      <c r="AD167" s="232">
        <f t="shared" si="48"/>
        <v>0</v>
      </c>
      <c r="AE167" s="232">
        <f t="shared" si="49"/>
        <v>0</v>
      </c>
    </row>
    <row r="168" spans="3:31" s="185" customFormat="1" x14ac:dyDescent="0.2">
      <c r="C168" s="128">
        <v>159</v>
      </c>
      <c r="D168" s="186">
        <f t="shared" si="50"/>
        <v>46181</v>
      </c>
      <c r="E168" s="128">
        <f t="shared" si="38"/>
        <v>6</v>
      </c>
      <c r="F168" s="187">
        <f t="shared" si="39"/>
        <v>46181</v>
      </c>
      <c r="G168" s="128">
        <f t="shared" si="40"/>
        <v>24</v>
      </c>
      <c r="H168" s="128">
        <f t="shared" si="41"/>
        <v>8</v>
      </c>
      <c r="I168" s="128">
        <f t="shared" si="42"/>
        <v>1</v>
      </c>
      <c r="J168" s="188">
        <f t="shared" si="43"/>
        <v>46181</v>
      </c>
      <c r="K168" s="128" t="str" cm="1">
        <f t="array" ref="K168">IF(AND(I168&lt;7,INDEX(B_tblFTMatrix,$E168,$H168)="x"),"ft","")</f>
        <v/>
      </c>
      <c r="L168" s="128"/>
      <c r="M168" s="128"/>
      <c r="N168" s="128">
        <f t="shared" si="34"/>
        <v>1</v>
      </c>
      <c r="O168" s="128">
        <f t="shared" si="44"/>
        <v>1</v>
      </c>
      <c r="P168" s="227">
        <f t="shared" si="35"/>
        <v>8</v>
      </c>
      <c r="Q168" s="229" cm="1">
        <f t="array" ref="Q168">SUMPRODUCT((H_tblBGTage=I168)*(H_tblBGMnt=E168)*H_tblBG%)</f>
        <v>1</v>
      </c>
      <c r="R168" s="227">
        <f t="shared" si="45"/>
        <v>8</v>
      </c>
      <c r="S168" s="233"/>
      <c r="T168" s="233"/>
      <c r="U168" s="232" cm="1">
        <f t="array" ref="U168">SUMPRODUCT((JUN!M_Verweiszeile=$H168)*JUN!M_ProdTag*(JUN!M_Monat=$E168))</f>
        <v>0</v>
      </c>
      <c r="V168" s="232" cm="1">
        <f t="array" ref="V168">SUMPRODUCT((JUN!M_Verweiszeile=$H168)*JUN!M_ProdN1*(JUN!M_Monat=$E168))</f>
        <v>0</v>
      </c>
      <c r="W168" s="232" cm="1">
        <f t="array" ref="W168">SUMPRODUCT((JUN!M_Verweiszeile=$H168)*JUN!M_ProdN2*(JUN!M_Monat=$E168))</f>
        <v>0</v>
      </c>
      <c r="X168" s="232" cm="1">
        <f t="array" ref="X168">SUMPRODUCT((JUN!M_Verweiszeile=$H168)*JUN!M_Reise*(JUN!M_Monat=$E168))</f>
        <v>0</v>
      </c>
      <c r="Y168" s="232" cm="1">
        <f t="array" ref="Y168">SUMPRODUCT((JUN!M_Verweiszeile=$H168)*JUN!M_Reiseabzug*(JUN!M_Monat=$E168))</f>
        <v>0</v>
      </c>
      <c r="Z168" s="232">
        <f t="shared" si="46"/>
        <v>0</v>
      </c>
      <c r="AA168" s="232">
        <f t="shared" si="36"/>
        <v>0</v>
      </c>
      <c r="AB168" s="232">
        <f t="shared" si="37"/>
        <v>0</v>
      </c>
      <c r="AC168" s="232">
        <f t="shared" si="47"/>
        <v>0</v>
      </c>
      <c r="AD168" s="232">
        <f t="shared" si="48"/>
        <v>0</v>
      </c>
      <c r="AE168" s="232">
        <f t="shared" si="49"/>
        <v>0</v>
      </c>
    </row>
    <row r="169" spans="3:31" s="185" customFormat="1" x14ac:dyDescent="0.2">
      <c r="C169" s="128">
        <v>160</v>
      </c>
      <c r="D169" s="186">
        <f t="shared" si="50"/>
        <v>46182</v>
      </c>
      <c r="E169" s="128">
        <f t="shared" si="38"/>
        <v>6</v>
      </c>
      <c r="F169" s="187">
        <f t="shared" si="39"/>
        <v>46182</v>
      </c>
      <c r="G169" s="128">
        <f t="shared" si="40"/>
        <v>24</v>
      </c>
      <c r="H169" s="128">
        <f t="shared" si="41"/>
        <v>9</v>
      </c>
      <c r="I169" s="128">
        <f t="shared" si="42"/>
        <v>2</v>
      </c>
      <c r="J169" s="188">
        <f t="shared" si="43"/>
        <v>46182</v>
      </c>
      <c r="K169" s="128" t="str" cm="1">
        <f t="array" ref="K169">IF(AND(I169&lt;7,INDEX(B_tblFTMatrix,$E169,$H169)="x"),"ft","")</f>
        <v/>
      </c>
      <c r="L169" s="128"/>
      <c r="M169" s="128"/>
      <c r="N169" s="128">
        <f t="shared" si="34"/>
        <v>1</v>
      </c>
      <c r="O169" s="128">
        <f t="shared" si="44"/>
        <v>1</v>
      </c>
      <c r="P169" s="227">
        <f t="shared" si="35"/>
        <v>8</v>
      </c>
      <c r="Q169" s="229" cm="1">
        <f t="array" ref="Q169">SUMPRODUCT((H_tblBGTage=I169)*(H_tblBGMnt=E169)*H_tblBG%)</f>
        <v>1</v>
      </c>
      <c r="R169" s="227">
        <f t="shared" si="45"/>
        <v>8</v>
      </c>
      <c r="S169" s="233"/>
      <c r="T169" s="233"/>
      <c r="U169" s="232" cm="1">
        <f t="array" ref="U169">SUMPRODUCT((JUN!M_Verweiszeile=$H169)*JUN!M_ProdTag*(JUN!M_Monat=$E169))</f>
        <v>0</v>
      </c>
      <c r="V169" s="232" cm="1">
        <f t="array" ref="V169">SUMPRODUCT((JUN!M_Verweiszeile=$H169)*JUN!M_ProdN1*(JUN!M_Monat=$E169))</f>
        <v>0</v>
      </c>
      <c r="W169" s="232" cm="1">
        <f t="array" ref="W169">SUMPRODUCT((JUN!M_Verweiszeile=$H169)*JUN!M_ProdN2*(JUN!M_Monat=$E169))</f>
        <v>0</v>
      </c>
      <c r="X169" s="232" cm="1">
        <f t="array" ref="X169">SUMPRODUCT((JUN!M_Verweiszeile=$H169)*JUN!M_Reise*(JUN!M_Monat=$E169))</f>
        <v>0</v>
      </c>
      <c r="Y169" s="232" cm="1">
        <f t="array" ref="Y169">SUMPRODUCT((JUN!M_Verweiszeile=$H169)*JUN!M_Reiseabzug*(JUN!M_Monat=$E169))</f>
        <v>0</v>
      </c>
      <c r="Z169" s="232">
        <f t="shared" si="46"/>
        <v>0</v>
      </c>
      <c r="AA169" s="232">
        <f t="shared" si="36"/>
        <v>0</v>
      </c>
      <c r="AB169" s="232">
        <f t="shared" si="37"/>
        <v>0</v>
      </c>
      <c r="AC169" s="232">
        <f t="shared" si="47"/>
        <v>0</v>
      </c>
      <c r="AD169" s="232">
        <f t="shared" si="48"/>
        <v>0</v>
      </c>
      <c r="AE169" s="232">
        <f t="shared" si="49"/>
        <v>0</v>
      </c>
    </row>
    <row r="170" spans="3:31" s="185" customFormat="1" x14ac:dyDescent="0.2">
      <c r="C170" s="128">
        <v>161</v>
      </c>
      <c r="D170" s="186">
        <f t="shared" si="50"/>
        <v>46183</v>
      </c>
      <c r="E170" s="128">
        <f t="shared" si="38"/>
        <v>6</v>
      </c>
      <c r="F170" s="187">
        <f t="shared" si="39"/>
        <v>46183</v>
      </c>
      <c r="G170" s="128">
        <f t="shared" si="40"/>
        <v>24</v>
      </c>
      <c r="H170" s="128">
        <f t="shared" si="41"/>
        <v>10</v>
      </c>
      <c r="I170" s="128">
        <f t="shared" si="42"/>
        <v>3</v>
      </c>
      <c r="J170" s="188">
        <f t="shared" si="43"/>
        <v>46183</v>
      </c>
      <c r="K170" s="128" t="str" cm="1">
        <f t="array" ref="K170">IF(AND(I170&lt;7,INDEX(B_tblFTMatrix,$E170,$H170)="x"),"ft","")</f>
        <v/>
      </c>
      <c r="L170" s="128"/>
      <c r="M170" s="128"/>
      <c r="N170" s="128">
        <f t="shared" si="34"/>
        <v>1</v>
      </c>
      <c r="O170" s="128">
        <f t="shared" si="44"/>
        <v>1</v>
      </c>
      <c r="P170" s="227">
        <f t="shared" si="35"/>
        <v>8</v>
      </c>
      <c r="Q170" s="229" cm="1">
        <f t="array" ref="Q170">SUMPRODUCT((H_tblBGTage=I170)*(H_tblBGMnt=E170)*H_tblBG%)</f>
        <v>1</v>
      </c>
      <c r="R170" s="227">
        <f t="shared" si="45"/>
        <v>8</v>
      </c>
      <c r="S170" s="233"/>
      <c r="T170" s="233"/>
      <c r="U170" s="232" cm="1">
        <f t="array" ref="U170">SUMPRODUCT((JUN!M_Verweiszeile=$H170)*JUN!M_ProdTag*(JUN!M_Monat=$E170))</f>
        <v>0</v>
      </c>
      <c r="V170" s="232" cm="1">
        <f t="array" ref="V170">SUMPRODUCT((JUN!M_Verweiszeile=$H170)*JUN!M_ProdN1*(JUN!M_Monat=$E170))</f>
        <v>0</v>
      </c>
      <c r="W170" s="232" cm="1">
        <f t="array" ref="W170">SUMPRODUCT((JUN!M_Verweiszeile=$H170)*JUN!M_ProdN2*(JUN!M_Monat=$E170))</f>
        <v>0</v>
      </c>
      <c r="X170" s="232" cm="1">
        <f t="array" ref="X170">SUMPRODUCT((JUN!M_Verweiszeile=$H170)*JUN!M_Reise*(JUN!M_Monat=$E170))</f>
        <v>0</v>
      </c>
      <c r="Y170" s="232" cm="1">
        <f t="array" ref="Y170">SUMPRODUCT((JUN!M_Verweiszeile=$H170)*JUN!M_Reiseabzug*(JUN!M_Monat=$E170))</f>
        <v>0</v>
      </c>
      <c r="Z170" s="232">
        <f t="shared" si="46"/>
        <v>0</v>
      </c>
      <c r="AA170" s="232">
        <f t="shared" si="36"/>
        <v>0</v>
      </c>
      <c r="AB170" s="232">
        <f t="shared" si="37"/>
        <v>0</v>
      </c>
      <c r="AC170" s="232">
        <f t="shared" si="47"/>
        <v>0</v>
      </c>
      <c r="AD170" s="232">
        <f t="shared" si="48"/>
        <v>0</v>
      </c>
      <c r="AE170" s="232">
        <f t="shared" si="49"/>
        <v>0</v>
      </c>
    </row>
    <row r="171" spans="3:31" s="185" customFormat="1" x14ac:dyDescent="0.2">
      <c r="C171" s="128">
        <v>162</v>
      </c>
      <c r="D171" s="186">
        <f t="shared" si="50"/>
        <v>46184</v>
      </c>
      <c r="E171" s="128">
        <f t="shared" si="38"/>
        <v>6</v>
      </c>
      <c r="F171" s="187">
        <f t="shared" si="39"/>
        <v>46184</v>
      </c>
      <c r="G171" s="128">
        <f t="shared" si="40"/>
        <v>24</v>
      </c>
      <c r="H171" s="128">
        <f t="shared" si="41"/>
        <v>11</v>
      </c>
      <c r="I171" s="128">
        <f t="shared" si="42"/>
        <v>4</v>
      </c>
      <c r="J171" s="188">
        <f t="shared" si="43"/>
        <v>46184</v>
      </c>
      <c r="K171" s="128" t="str" cm="1">
        <f t="array" ref="K171">IF(AND(I171&lt;7,INDEX(B_tblFTMatrix,$E171,$H171)="x"),"ft","")</f>
        <v/>
      </c>
      <c r="L171" s="128"/>
      <c r="M171" s="128"/>
      <c r="N171" s="128">
        <f t="shared" si="34"/>
        <v>1</v>
      </c>
      <c r="O171" s="128">
        <f t="shared" si="44"/>
        <v>1</v>
      </c>
      <c r="P171" s="227">
        <f t="shared" si="35"/>
        <v>8</v>
      </c>
      <c r="Q171" s="229" cm="1">
        <f t="array" ref="Q171">SUMPRODUCT((H_tblBGTage=I171)*(H_tblBGMnt=E171)*H_tblBG%)</f>
        <v>1</v>
      </c>
      <c r="R171" s="227">
        <f t="shared" si="45"/>
        <v>8</v>
      </c>
      <c r="S171" s="233"/>
      <c r="T171" s="233"/>
      <c r="U171" s="232" cm="1">
        <f t="array" ref="U171">SUMPRODUCT((JUN!M_Verweiszeile=$H171)*JUN!M_ProdTag*(JUN!M_Monat=$E171))</f>
        <v>0</v>
      </c>
      <c r="V171" s="232" cm="1">
        <f t="array" ref="V171">SUMPRODUCT((JUN!M_Verweiszeile=$H171)*JUN!M_ProdN1*(JUN!M_Monat=$E171))</f>
        <v>0</v>
      </c>
      <c r="W171" s="232" cm="1">
        <f t="array" ref="W171">SUMPRODUCT((JUN!M_Verweiszeile=$H171)*JUN!M_ProdN2*(JUN!M_Monat=$E171))</f>
        <v>0</v>
      </c>
      <c r="X171" s="232" cm="1">
        <f t="array" ref="X171">SUMPRODUCT((JUN!M_Verweiszeile=$H171)*JUN!M_Reise*(JUN!M_Monat=$E171))</f>
        <v>0</v>
      </c>
      <c r="Y171" s="232" cm="1">
        <f t="array" ref="Y171">SUMPRODUCT((JUN!M_Verweiszeile=$H171)*JUN!M_Reiseabzug*(JUN!M_Monat=$E171))</f>
        <v>0</v>
      </c>
      <c r="Z171" s="232">
        <f t="shared" si="46"/>
        <v>0</v>
      </c>
      <c r="AA171" s="232">
        <f t="shared" si="36"/>
        <v>0</v>
      </c>
      <c r="AB171" s="232">
        <f t="shared" si="37"/>
        <v>0</v>
      </c>
      <c r="AC171" s="232">
        <f t="shared" si="47"/>
        <v>0</v>
      </c>
      <c r="AD171" s="232">
        <f t="shared" si="48"/>
        <v>0</v>
      </c>
      <c r="AE171" s="232">
        <f t="shared" si="49"/>
        <v>0</v>
      </c>
    </row>
    <row r="172" spans="3:31" s="185" customFormat="1" x14ac:dyDescent="0.2">
      <c r="C172" s="128">
        <v>163</v>
      </c>
      <c r="D172" s="186">
        <f t="shared" si="50"/>
        <v>46185</v>
      </c>
      <c r="E172" s="128">
        <f t="shared" si="38"/>
        <v>6</v>
      </c>
      <c r="F172" s="187">
        <f t="shared" si="39"/>
        <v>46185</v>
      </c>
      <c r="G172" s="128">
        <f t="shared" si="40"/>
        <v>24</v>
      </c>
      <c r="H172" s="128">
        <f t="shared" si="41"/>
        <v>12</v>
      </c>
      <c r="I172" s="128">
        <f t="shared" si="42"/>
        <v>5</v>
      </c>
      <c r="J172" s="188">
        <f t="shared" si="43"/>
        <v>46185</v>
      </c>
      <c r="K172" s="128" t="str" cm="1">
        <f t="array" ref="K172">IF(AND(I172&lt;7,INDEX(B_tblFTMatrix,$E172,$H172)="x"),"ft","")</f>
        <v/>
      </c>
      <c r="L172" s="128"/>
      <c r="M172" s="128"/>
      <c r="N172" s="128">
        <f t="shared" si="34"/>
        <v>1</v>
      </c>
      <c r="O172" s="128">
        <f t="shared" si="44"/>
        <v>1</v>
      </c>
      <c r="P172" s="227">
        <f t="shared" si="35"/>
        <v>8</v>
      </c>
      <c r="Q172" s="229" cm="1">
        <f t="array" ref="Q172">SUMPRODUCT((H_tblBGTage=I172)*(H_tblBGMnt=E172)*H_tblBG%)</f>
        <v>1</v>
      </c>
      <c r="R172" s="227">
        <f t="shared" si="45"/>
        <v>8</v>
      </c>
      <c r="S172" s="233"/>
      <c r="T172" s="233"/>
      <c r="U172" s="232" cm="1">
        <f t="array" ref="U172">SUMPRODUCT((JUN!M_Verweiszeile=$H172)*JUN!M_ProdTag*(JUN!M_Monat=$E172))</f>
        <v>0</v>
      </c>
      <c r="V172" s="232" cm="1">
        <f t="array" ref="V172">SUMPRODUCT((JUN!M_Verweiszeile=$H172)*JUN!M_ProdN1*(JUN!M_Monat=$E172))</f>
        <v>0</v>
      </c>
      <c r="W172" s="232" cm="1">
        <f t="array" ref="W172">SUMPRODUCT((JUN!M_Verweiszeile=$H172)*JUN!M_ProdN2*(JUN!M_Monat=$E172))</f>
        <v>0</v>
      </c>
      <c r="X172" s="232" cm="1">
        <f t="array" ref="X172">SUMPRODUCT((JUN!M_Verweiszeile=$H172)*JUN!M_Reise*(JUN!M_Monat=$E172))</f>
        <v>0</v>
      </c>
      <c r="Y172" s="232" cm="1">
        <f t="array" ref="Y172">SUMPRODUCT((JUN!M_Verweiszeile=$H172)*JUN!M_Reiseabzug*(JUN!M_Monat=$E172))</f>
        <v>0</v>
      </c>
      <c r="Z172" s="232">
        <f t="shared" si="46"/>
        <v>0</v>
      </c>
      <c r="AA172" s="232">
        <f t="shared" si="36"/>
        <v>0</v>
      </c>
      <c r="AB172" s="232">
        <f t="shared" si="37"/>
        <v>0</v>
      </c>
      <c r="AC172" s="232">
        <f t="shared" si="47"/>
        <v>0</v>
      </c>
      <c r="AD172" s="232">
        <f t="shared" si="48"/>
        <v>0</v>
      </c>
      <c r="AE172" s="232">
        <f t="shared" si="49"/>
        <v>0</v>
      </c>
    </row>
    <row r="173" spans="3:31" s="185" customFormat="1" x14ac:dyDescent="0.2">
      <c r="C173" s="128">
        <v>164</v>
      </c>
      <c r="D173" s="186">
        <f t="shared" si="50"/>
        <v>46186</v>
      </c>
      <c r="E173" s="128">
        <f t="shared" si="38"/>
        <v>6</v>
      </c>
      <c r="F173" s="187">
        <f t="shared" si="39"/>
        <v>46186</v>
      </c>
      <c r="G173" s="128">
        <f t="shared" si="40"/>
        <v>24</v>
      </c>
      <c r="H173" s="128">
        <f t="shared" si="41"/>
        <v>13</v>
      </c>
      <c r="I173" s="128">
        <f t="shared" si="42"/>
        <v>6</v>
      </c>
      <c r="J173" s="188">
        <f t="shared" si="43"/>
        <v>46186</v>
      </c>
      <c r="K173" s="128" t="str" cm="1">
        <f t="array" ref="K173">IF(AND(I173&lt;7,INDEX(B_tblFTMatrix,$E173,$H173)="x"),"ft","")</f>
        <v/>
      </c>
      <c r="L173" s="128"/>
      <c r="M173" s="128"/>
      <c r="N173" s="128">
        <f t="shared" si="34"/>
        <v>0</v>
      </c>
      <c r="O173" s="128">
        <f t="shared" si="44"/>
        <v>0</v>
      </c>
      <c r="P173" s="227">
        <f t="shared" si="35"/>
        <v>0</v>
      </c>
      <c r="Q173" s="229" cm="1">
        <f t="array" ref="Q173">SUMPRODUCT((H_tblBGTage=I173)*(H_tblBGMnt=E173)*H_tblBG%)</f>
        <v>0</v>
      </c>
      <c r="R173" s="227">
        <f t="shared" si="45"/>
        <v>0</v>
      </c>
      <c r="S173" s="233"/>
      <c r="T173" s="233"/>
      <c r="U173" s="232" cm="1">
        <f t="array" ref="U173">SUMPRODUCT((JUN!M_Verweiszeile=$H173)*JUN!M_ProdTag*(JUN!M_Monat=$E173))</f>
        <v>0</v>
      </c>
      <c r="V173" s="232" cm="1">
        <f t="array" ref="V173">SUMPRODUCT((JUN!M_Verweiszeile=$H173)*JUN!M_ProdN1*(JUN!M_Monat=$E173))</f>
        <v>0</v>
      </c>
      <c r="W173" s="232" cm="1">
        <f t="array" ref="W173">SUMPRODUCT((JUN!M_Verweiszeile=$H173)*JUN!M_ProdN2*(JUN!M_Monat=$E173))</f>
        <v>0</v>
      </c>
      <c r="X173" s="232" cm="1">
        <f t="array" ref="X173">SUMPRODUCT((JUN!M_Verweiszeile=$H173)*JUN!M_Reise*(JUN!M_Monat=$E173))</f>
        <v>0</v>
      </c>
      <c r="Y173" s="232" cm="1">
        <f t="array" ref="Y173">SUMPRODUCT((JUN!M_Verweiszeile=$H173)*JUN!M_Reiseabzug*(JUN!M_Monat=$E173))</f>
        <v>0</v>
      </c>
      <c r="Z173" s="232">
        <f t="shared" si="46"/>
        <v>0</v>
      </c>
      <c r="AA173" s="232">
        <f t="shared" si="36"/>
        <v>0</v>
      </c>
      <c r="AB173" s="232">
        <f t="shared" si="37"/>
        <v>0</v>
      </c>
      <c r="AC173" s="232">
        <f t="shared" si="47"/>
        <v>0</v>
      </c>
      <c r="AD173" s="232">
        <f t="shared" si="48"/>
        <v>0</v>
      </c>
      <c r="AE173" s="232">
        <f t="shared" si="49"/>
        <v>0</v>
      </c>
    </row>
    <row r="174" spans="3:31" s="185" customFormat="1" x14ac:dyDescent="0.2">
      <c r="C174" s="128">
        <v>165</v>
      </c>
      <c r="D174" s="186">
        <f t="shared" si="50"/>
        <v>46187</v>
      </c>
      <c r="E174" s="128">
        <f t="shared" si="38"/>
        <v>6</v>
      </c>
      <c r="F174" s="187">
        <f t="shared" si="39"/>
        <v>46187</v>
      </c>
      <c r="G174" s="128">
        <f t="shared" si="40"/>
        <v>24</v>
      </c>
      <c r="H174" s="128">
        <f t="shared" si="41"/>
        <v>14</v>
      </c>
      <c r="I174" s="128">
        <f t="shared" si="42"/>
        <v>7</v>
      </c>
      <c r="J174" s="188">
        <f t="shared" si="43"/>
        <v>46187</v>
      </c>
      <c r="K174" s="128" t="str" cm="1">
        <f t="array" ref="K174">IF(AND(I174&lt;7,INDEX(B_tblFTMatrix,$E174,$H174)="x"),"ft","")</f>
        <v/>
      </c>
      <c r="L174" s="128"/>
      <c r="M174" s="128"/>
      <c r="N174" s="128">
        <f t="shared" si="34"/>
        <v>0</v>
      </c>
      <c r="O174" s="128">
        <f t="shared" si="44"/>
        <v>0</v>
      </c>
      <c r="P174" s="227">
        <f t="shared" si="35"/>
        <v>0</v>
      </c>
      <c r="Q174" s="229" cm="1">
        <f t="array" ref="Q174">SUMPRODUCT((H_tblBGTage=I174)*(H_tblBGMnt=E174)*H_tblBG%)</f>
        <v>0</v>
      </c>
      <c r="R174" s="227">
        <f t="shared" si="45"/>
        <v>0</v>
      </c>
      <c r="S174" s="233"/>
      <c r="T174" s="233"/>
      <c r="U174" s="232" cm="1">
        <f t="array" ref="U174">SUMPRODUCT((JUN!M_Verweiszeile=$H174)*JUN!M_ProdTag*(JUN!M_Monat=$E174))</f>
        <v>0</v>
      </c>
      <c r="V174" s="232" cm="1">
        <f t="array" ref="V174">SUMPRODUCT((JUN!M_Verweiszeile=$H174)*JUN!M_ProdN1*(JUN!M_Monat=$E174))</f>
        <v>0</v>
      </c>
      <c r="W174" s="232" cm="1">
        <f t="array" ref="W174">SUMPRODUCT((JUN!M_Verweiszeile=$H174)*JUN!M_ProdN2*(JUN!M_Monat=$E174))</f>
        <v>0</v>
      </c>
      <c r="X174" s="232" cm="1">
        <f t="array" ref="X174">SUMPRODUCT((JUN!M_Verweiszeile=$H174)*JUN!M_Reise*(JUN!M_Monat=$E174))</f>
        <v>0</v>
      </c>
      <c r="Y174" s="232" cm="1">
        <f t="array" ref="Y174">SUMPRODUCT((JUN!M_Verweiszeile=$H174)*JUN!M_Reiseabzug*(JUN!M_Monat=$E174))</f>
        <v>0</v>
      </c>
      <c r="Z174" s="232">
        <f t="shared" si="46"/>
        <v>0</v>
      </c>
      <c r="AA174" s="232">
        <f t="shared" si="36"/>
        <v>0</v>
      </c>
      <c r="AB174" s="232">
        <f t="shared" si="37"/>
        <v>0</v>
      </c>
      <c r="AC174" s="232">
        <f t="shared" si="47"/>
        <v>0</v>
      </c>
      <c r="AD174" s="232">
        <f t="shared" si="48"/>
        <v>0</v>
      </c>
      <c r="AE174" s="232">
        <f t="shared" si="49"/>
        <v>0</v>
      </c>
    </row>
    <row r="175" spans="3:31" s="185" customFormat="1" x14ac:dyDescent="0.2">
      <c r="C175" s="128">
        <v>166</v>
      </c>
      <c r="D175" s="186">
        <f t="shared" si="50"/>
        <v>46188</v>
      </c>
      <c r="E175" s="128">
        <f t="shared" si="38"/>
        <v>6</v>
      </c>
      <c r="F175" s="187">
        <f t="shared" si="39"/>
        <v>46188</v>
      </c>
      <c r="G175" s="128">
        <f t="shared" si="40"/>
        <v>25</v>
      </c>
      <c r="H175" s="128">
        <f t="shared" si="41"/>
        <v>15</v>
      </c>
      <c r="I175" s="128">
        <f t="shared" si="42"/>
        <v>1</v>
      </c>
      <c r="J175" s="188">
        <f t="shared" si="43"/>
        <v>46188</v>
      </c>
      <c r="K175" s="128" t="str" cm="1">
        <f t="array" ref="K175">IF(AND(I175&lt;7,INDEX(B_tblFTMatrix,$E175,$H175)="x"),"ft","")</f>
        <v/>
      </c>
      <c r="L175" s="128"/>
      <c r="M175" s="128"/>
      <c r="N175" s="128">
        <f t="shared" si="34"/>
        <v>1</v>
      </c>
      <c r="O175" s="128">
        <f t="shared" si="44"/>
        <v>1</v>
      </c>
      <c r="P175" s="227">
        <f t="shared" si="35"/>
        <v>8</v>
      </c>
      <c r="Q175" s="229" cm="1">
        <f t="array" ref="Q175">SUMPRODUCT((H_tblBGTage=I175)*(H_tblBGMnt=E175)*H_tblBG%)</f>
        <v>1</v>
      </c>
      <c r="R175" s="227">
        <f t="shared" si="45"/>
        <v>8</v>
      </c>
      <c r="S175" s="233"/>
      <c r="T175" s="233"/>
      <c r="U175" s="232" cm="1">
        <f t="array" ref="U175">SUMPRODUCT((JUN!M_Verweiszeile=$H175)*JUN!M_ProdTag*(JUN!M_Monat=$E175))</f>
        <v>0</v>
      </c>
      <c r="V175" s="232" cm="1">
        <f t="array" ref="V175">SUMPRODUCT((JUN!M_Verweiszeile=$H175)*JUN!M_ProdN1*(JUN!M_Monat=$E175))</f>
        <v>0</v>
      </c>
      <c r="W175" s="232" cm="1">
        <f t="array" ref="W175">SUMPRODUCT((JUN!M_Verweiszeile=$H175)*JUN!M_ProdN2*(JUN!M_Monat=$E175))</f>
        <v>0</v>
      </c>
      <c r="X175" s="232" cm="1">
        <f t="array" ref="X175">SUMPRODUCT((JUN!M_Verweiszeile=$H175)*JUN!M_Reise*(JUN!M_Monat=$E175))</f>
        <v>0</v>
      </c>
      <c r="Y175" s="232" cm="1">
        <f t="array" ref="Y175">SUMPRODUCT((JUN!M_Verweiszeile=$H175)*JUN!M_Reiseabzug*(JUN!M_Monat=$E175))</f>
        <v>0</v>
      </c>
      <c r="Z175" s="232">
        <f t="shared" si="46"/>
        <v>0</v>
      </c>
      <c r="AA175" s="232">
        <f t="shared" si="36"/>
        <v>0</v>
      </c>
      <c r="AB175" s="232">
        <f t="shared" si="37"/>
        <v>0</v>
      </c>
      <c r="AC175" s="232">
        <f t="shared" si="47"/>
        <v>0</v>
      </c>
      <c r="AD175" s="232">
        <f t="shared" si="48"/>
        <v>0</v>
      </c>
      <c r="AE175" s="232">
        <f t="shared" si="49"/>
        <v>0</v>
      </c>
    </row>
    <row r="176" spans="3:31" s="185" customFormat="1" x14ac:dyDescent="0.2">
      <c r="C176" s="128">
        <v>167</v>
      </c>
      <c r="D176" s="186">
        <f t="shared" si="50"/>
        <v>46189</v>
      </c>
      <c r="E176" s="128">
        <f t="shared" si="38"/>
        <v>6</v>
      </c>
      <c r="F176" s="187">
        <f t="shared" si="39"/>
        <v>46189</v>
      </c>
      <c r="G176" s="128">
        <f t="shared" si="40"/>
        <v>25</v>
      </c>
      <c r="H176" s="128">
        <f t="shared" si="41"/>
        <v>16</v>
      </c>
      <c r="I176" s="128">
        <f t="shared" si="42"/>
        <v>2</v>
      </c>
      <c r="J176" s="188">
        <f t="shared" si="43"/>
        <v>46189</v>
      </c>
      <c r="K176" s="128" t="str" cm="1">
        <f t="array" ref="K176">IF(AND(I176&lt;7,INDEX(B_tblFTMatrix,$E176,$H176)="x"),"ft","")</f>
        <v/>
      </c>
      <c r="L176" s="128"/>
      <c r="M176" s="128"/>
      <c r="N176" s="128">
        <f t="shared" si="34"/>
        <v>1</v>
      </c>
      <c r="O176" s="128">
        <f t="shared" si="44"/>
        <v>1</v>
      </c>
      <c r="P176" s="227">
        <f t="shared" si="35"/>
        <v>8</v>
      </c>
      <c r="Q176" s="229" cm="1">
        <f t="array" ref="Q176">SUMPRODUCT((H_tblBGTage=I176)*(H_tblBGMnt=E176)*H_tblBG%)</f>
        <v>1</v>
      </c>
      <c r="R176" s="227">
        <f t="shared" si="45"/>
        <v>8</v>
      </c>
      <c r="S176" s="233"/>
      <c r="T176" s="233"/>
      <c r="U176" s="232" cm="1">
        <f t="array" ref="U176">SUMPRODUCT((JUN!M_Verweiszeile=$H176)*JUN!M_ProdTag*(JUN!M_Monat=$E176))</f>
        <v>0</v>
      </c>
      <c r="V176" s="232" cm="1">
        <f t="array" ref="V176">SUMPRODUCT((JUN!M_Verweiszeile=$H176)*JUN!M_ProdN1*(JUN!M_Monat=$E176))</f>
        <v>0</v>
      </c>
      <c r="W176" s="232" cm="1">
        <f t="array" ref="W176">SUMPRODUCT((JUN!M_Verweiszeile=$H176)*JUN!M_ProdN2*(JUN!M_Monat=$E176))</f>
        <v>0</v>
      </c>
      <c r="X176" s="232" cm="1">
        <f t="array" ref="X176">SUMPRODUCT((JUN!M_Verweiszeile=$H176)*JUN!M_Reise*(JUN!M_Monat=$E176))</f>
        <v>0</v>
      </c>
      <c r="Y176" s="232" cm="1">
        <f t="array" ref="Y176">SUMPRODUCT((JUN!M_Verweiszeile=$H176)*JUN!M_Reiseabzug*(JUN!M_Monat=$E176))</f>
        <v>0</v>
      </c>
      <c r="Z176" s="232">
        <f t="shared" si="46"/>
        <v>0</v>
      </c>
      <c r="AA176" s="232">
        <f t="shared" si="36"/>
        <v>0</v>
      </c>
      <c r="AB176" s="232">
        <f t="shared" si="37"/>
        <v>0</v>
      </c>
      <c r="AC176" s="232">
        <f t="shared" si="47"/>
        <v>0</v>
      </c>
      <c r="AD176" s="232">
        <f t="shared" si="48"/>
        <v>0</v>
      </c>
      <c r="AE176" s="232">
        <f t="shared" si="49"/>
        <v>0</v>
      </c>
    </row>
    <row r="177" spans="3:31" s="185" customFormat="1" x14ac:dyDescent="0.2">
      <c r="C177" s="128">
        <v>168</v>
      </c>
      <c r="D177" s="186">
        <f t="shared" si="50"/>
        <v>46190</v>
      </c>
      <c r="E177" s="128">
        <f t="shared" si="38"/>
        <v>6</v>
      </c>
      <c r="F177" s="187">
        <f t="shared" si="39"/>
        <v>46190</v>
      </c>
      <c r="G177" s="128">
        <f t="shared" si="40"/>
        <v>25</v>
      </c>
      <c r="H177" s="128">
        <f t="shared" si="41"/>
        <v>17</v>
      </c>
      <c r="I177" s="128">
        <f t="shared" si="42"/>
        <v>3</v>
      </c>
      <c r="J177" s="188">
        <f t="shared" si="43"/>
        <v>46190</v>
      </c>
      <c r="K177" s="128" t="str" cm="1">
        <f t="array" ref="K177">IF(AND(I177&lt;7,INDEX(B_tblFTMatrix,$E177,$H177)="x"),"ft","")</f>
        <v/>
      </c>
      <c r="L177" s="128"/>
      <c r="M177" s="128"/>
      <c r="N177" s="128">
        <f t="shared" si="34"/>
        <v>1</v>
      </c>
      <c r="O177" s="128">
        <f t="shared" si="44"/>
        <v>1</v>
      </c>
      <c r="P177" s="227">
        <f t="shared" si="35"/>
        <v>8</v>
      </c>
      <c r="Q177" s="229" cm="1">
        <f t="array" ref="Q177">SUMPRODUCT((H_tblBGTage=I177)*(H_tblBGMnt=E177)*H_tblBG%)</f>
        <v>1</v>
      </c>
      <c r="R177" s="227">
        <f t="shared" si="45"/>
        <v>8</v>
      </c>
      <c r="S177" s="233"/>
      <c r="T177" s="233"/>
      <c r="U177" s="232" cm="1">
        <f t="array" ref="U177">SUMPRODUCT((JUN!M_Verweiszeile=$H177)*JUN!M_ProdTag*(JUN!M_Monat=$E177))</f>
        <v>0</v>
      </c>
      <c r="V177" s="232" cm="1">
        <f t="array" ref="V177">SUMPRODUCT((JUN!M_Verweiszeile=$H177)*JUN!M_ProdN1*(JUN!M_Monat=$E177))</f>
        <v>0</v>
      </c>
      <c r="W177" s="232" cm="1">
        <f t="array" ref="W177">SUMPRODUCT((JUN!M_Verweiszeile=$H177)*JUN!M_ProdN2*(JUN!M_Monat=$E177))</f>
        <v>0</v>
      </c>
      <c r="X177" s="232" cm="1">
        <f t="array" ref="X177">SUMPRODUCT((JUN!M_Verweiszeile=$H177)*JUN!M_Reise*(JUN!M_Monat=$E177))</f>
        <v>0</v>
      </c>
      <c r="Y177" s="232" cm="1">
        <f t="array" ref="Y177">SUMPRODUCT((JUN!M_Verweiszeile=$H177)*JUN!M_Reiseabzug*(JUN!M_Monat=$E177))</f>
        <v>0</v>
      </c>
      <c r="Z177" s="232">
        <f t="shared" si="46"/>
        <v>0</v>
      </c>
      <c r="AA177" s="232">
        <f t="shared" si="36"/>
        <v>0</v>
      </c>
      <c r="AB177" s="232">
        <f t="shared" si="37"/>
        <v>0</v>
      </c>
      <c r="AC177" s="232">
        <f t="shared" si="47"/>
        <v>0</v>
      </c>
      <c r="AD177" s="232">
        <f t="shared" si="48"/>
        <v>0</v>
      </c>
      <c r="AE177" s="232">
        <f t="shared" si="49"/>
        <v>0</v>
      </c>
    </row>
    <row r="178" spans="3:31" s="185" customFormat="1" x14ac:dyDescent="0.2">
      <c r="C178" s="128">
        <v>169</v>
      </c>
      <c r="D178" s="186">
        <f t="shared" si="50"/>
        <v>46191</v>
      </c>
      <c r="E178" s="128">
        <f t="shared" si="38"/>
        <v>6</v>
      </c>
      <c r="F178" s="187">
        <f t="shared" si="39"/>
        <v>46191</v>
      </c>
      <c r="G178" s="128">
        <f t="shared" si="40"/>
        <v>25</v>
      </c>
      <c r="H178" s="128">
        <f t="shared" si="41"/>
        <v>18</v>
      </c>
      <c r="I178" s="128">
        <f t="shared" si="42"/>
        <v>4</v>
      </c>
      <c r="J178" s="188">
        <f t="shared" si="43"/>
        <v>46191</v>
      </c>
      <c r="K178" s="128" t="str" cm="1">
        <f t="array" ref="K178">IF(AND(I178&lt;7,INDEX(B_tblFTMatrix,$E178,$H178)="x"),"ft","")</f>
        <v/>
      </c>
      <c r="L178" s="128"/>
      <c r="M178" s="128"/>
      <c r="N178" s="128">
        <f t="shared" si="34"/>
        <v>1</v>
      </c>
      <c r="O178" s="128">
        <f t="shared" si="44"/>
        <v>1</v>
      </c>
      <c r="P178" s="227">
        <f t="shared" si="35"/>
        <v>8</v>
      </c>
      <c r="Q178" s="229" cm="1">
        <f t="array" ref="Q178">SUMPRODUCT((H_tblBGTage=I178)*(H_tblBGMnt=E178)*H_tblBG%)</f>
        <v>1</v>
      </c>
      <c r="R178" s="227">
        <f t="shared" si="45"/>
        <v>8</v>
      </c>
      <c r="S178" s="233"/>
      <c r="T178" s="233"/>
      <c r="U178" s="232" cm="1">
        <f t="array" ref="U178">SUMPRODUCT((JUN!M_Verweiszeile=$H178)*JUN!M_ProdTag*(JUN!M_Monat=$E178))</f>
        <v>0</v>
      </c>
      <c r="V178" s="232" cm="1">
        <f t="array" ref="V178">SUMPRODUCT((JUN!M_Verweiszeile=$H178)*JUN!M_ProdN1*(JUN!M_Monat=$E178))</f>
        <v>0</v>
      </c>
      <c r="W178" s="232" cm="1">
        <f t="array" ref="W178">SUMPRODUCT((JUN!M_Verweiszeile=$H178)*JUN!M_ProdN2*(JUN!M_Monat=$E178))</f>
        <v>0</v>
      </c>
      <c r="X178" s="232" cm="1">
        <f t="array" ref="X178">SUMPRODUCT((JUN!M_Verweiszeile=$H178)*JUN!M_Reise*(JUN!M_Monat=$E178))</f>
        <v>0</v>
      </c>
      <c r="Y178" s="232" cm="1">
        <f t="array" ref="Y178">SUMPRODUCT((JUN!M_Verweiszeile=$H178)*JUN!M_Reiseabzug*(JUN!M_Monat=$E178))</f>
        <v>0</v>
      </c>
      <c r="Z178" s="232">
        <f t="shared" si="46"/>
        <v>0</v>
      </c>
      <c r="AA178" s="232">
        <f t="shared" si="36"/>
        <v>0</v>
      </c>
      <c r="AB178" s="232">
        <f t="shared" si="37"/>
        <v>0</v>
      </c>
      <c r="AC178" s="232">
        <f t="shared" si="47"/>
        <v>0</v>
      </c>
      <c r="AD178" s="232">
        <f t="shared" si="48"/>
        <v>0</v>
      </c>
      <c r="AE178" s="232">
        <f t="shared" si="49"/>
        <v>0</v>
      </c>
    </row>
    <row r="179" spans="3:31" s="185" customFormat="1" x14ac:dyDescent="0.2">
      <c r="C179" s="128">
        <v>170</v>
      </c>
      <c r="D179" s="186">
        <f t="shared" si="50"/>
        <v>46192</v>
      </c>
      <c r="E179" s="128">
        <f t="shared" si="38"/>
        <v>6</v>
      </c>
      <c r="F179" s="187">
        <f t="shared" si="39"/>
        <v>46192</v>
      </c>
      <c r="G179" s="128">
        <f t="shared" si="40"/>
        <v>25</v>
      </c>
      <c r="H179" s="128">
        <f t="shared" si="41"/>
        <v>19</v>
      </c>
      <c r="I179" s="128">
        <f t="shared" si="42"/>
        <v>5</v>
      </c>
      <c r="J179" s="188">
        <f t="shared" si="43"/>
        <v>46192</v>
      </c>
      <c r="K179" s="128" t="str" cm="1">
        <f t="array" ref="K179">IF(AND(I179&lt;7,INDEX(B_tblFTMatrix,$E179,$H179)="x"),"ft","")</f>
        <v/>
      </c>
      <c r="L179" s="128"/>
      <c r="M179" s="128"/>
      <c r="N179" s="128">
        <f t="shared" si="34"/>
        <v>1</v>
      </c>
      <c r="O179" s="128">
        <f t="shared" si="44"/>
        <v>1</v>
      </c>
      <c r="P179" s="227">
        <f t="shared" si="35"/>
        <v>8</v>
      </c>
      <c r="Q179" s="229" cm="1">
        <f t="array" ref="Q179">SUMPRODUCT((H_tblBGTage=I179)*(H_tblBGMnt=E179)*H_tblBG%)</f>
        <v>1</v>
      </c>
      <c r="R179" s="227">
        <f t="shared" si="45"/>
        <v>8</v>
      </c>
      <c r="S179" s="233"/>
      <c r="T179" s="233"/>
      <c r="U179" s="232" cm="1">
        <f t="array" ref="U179">SUMPRODUCT((JUN!M_Verweiszeile=$H179)*JUN!M_ProdTag*(JUN!M_Monat=$E179))</f>
        <v>0</v>
      </c>
      <c r="V179" s="232" cm="1">
        <f t="array" ref="V179">SUMPRODUCT((JUN!M_Verweiszeile=$H179)*JUN!M_ProdN1*(JUN!M_Monat=$E179))</f>
        <v>0</v>
      </c>
      <c r="W179" s="232" cm="1">
        <f t="array" ref="W179">SUMPRODUCT((JUN!M_Verweiszeile=$H179)*JUN!M_ProdN2*(JUN!M_Monat=$E179))</f>
        <v>0</v>
      </c>
      <c r="X179" s="232" cm="1">
        <f t="array" ref="X179">SUMPRODUCT((JUN!M_Verweiszeile=$H179)*JUN!M_Reise*(JUN!M_Monat=$E179))</f>
        <v>0</v>
      </c>
      <c r="Y179" s="232" cm="1">
        <f t="array" ref="Y179">SUMPRODUCT((JUN!M_Verweiszeile=$H179)*JUN!M_Reiseabzug*(JUN!M_Monat=$E179))</f>
        <v>0</v>
      </c>
      <c r="Z179" s="232">
        <f t="shared" si="46"/>
        <v>0</v>
      </c>
      <c r="AA179" s="232">
        <f t="shared" si="36"/>
        <v>0</v>
      </c>
      <c r="AB179" s="232">
        <f t="shared" si="37"/>
        <v>0</v>
      </c>
      <c r="AC179" s="232">
        <f t="shared" si="47"/>
        <v>0</v>
      </c>
      <c r="AD179" s="232">
        <f t="shared" si="48"/>
        <v>0</v>
      </c>
      <c r="AE179" s="232">
        <f t="shared" si="49"/>
        <v>0</v>
      </c>
    </row>
    <row r="180" spans="3:31" s="185" customFormat="1" x14ac:dyDescent="0.2">
      <c r="C180" s="128">
        <v>171</v>
      </c>
      <c r="D180" s="186">
        <f t="shared" si="50"/>
        <v>46193</v>
      </c>
      <c r="E180" s="128">
        <f t="shared" si="38"/>
        <v>6</v>
      </c>
      <c r="F180" s="187">
        <f t="shared" si="39"/>
        <v>46193</v>
      </c>
      <c r="G180" s="128">
        <f t="shared" si="40"/>
        <v>25</v>
      </c>
      <c r="H180" s="128">
        <f t="shared" si="41"/>
        <v>20</v>
      </c>
      <c r="I180" s="128">
        <f t="shared" si="42"/>
        <v>6</v>
      </c>
      <c r="J180" s="188">
        <f t="shared" si="43"/>
        <v>46193</v>
      </c>
      <c r="K180" s="128" t="str" cm="1">
        <f t="array" ref="K180">IF(AND(I180&lt;7,INDEX(B_tblFTMatrix,$E180,$H180)="x"),"ft","")</f>
        <v/>
      </c>
      <c r="L180" s="128"/>
      <c r="M180" s="128"/>
      <c r="N180" s="128">
        <f t="shared" si="34"/>
        <v>0</v>
      </c>
      <c r="O180" s="128">
        <f t="shared" si="44"/>
        <v>0</v>
      </c>
      <c r="P180" s="227">
        <f t="shared" si="35"/>
        <v>0</v>
      </c>
      <c r="Q180" s="229" cm="1">
        <f t="array" ref="Q180">SUMPRODUCT((H_tblBGTage=I180)*(H_tblBGMnt=E180)*H_tblBG%)</f>
        <v>0</v>
      </c>
      <c r="R180" s="227">
        <f t="shared" si="45"/>
        <v>0</v>
      </c>
      <c r="S180" s="233"/>
      <c r="T180" s="233"/>
      <c r="U180" s="232" cm="1">
        <f t="array" ref="U180">SUMPRODUCT((JUN!M_Verweiszeile=$H180)*JUN!M_ProdTag*(JUN!M_Monat=$E180))</f>
        <v>0</v>
      </c>
      <c r="V180" s="232" cm="1">
        <f t="array" ref="V180">SUMPRODUCT((JUN!M_Verweiszeile=$H180)*JUN!M_ProdN1*(JUN!M_Monat=$E180))</f>
        <v>0</v>
      </c>
      <c r="W180" s="232" cm="1">
        <f t="array" ref="W180">SUMPRODUCT((JUN!M_Verweiszeile=$H180)*JUN!M_ProdN2*(JUN!M_Monat=$E180))</f>
        <v>0</v>
      </c>
      <c r="X180" s="232" cm="1">
        <f t="array" ref="X180">SUMPRODUCT((JUN!M_Verweiszeile=$H180)*JUN!M_Reise*(JUN!M_Monat=$E180))</f>
        <v>0</v>
      </c>
      <c r="Y180" s="232" cm="1">
        <f t="array" ref="Y180">SUMPRODUCT((JUN!M_Verweiszeile=$H180)*JUN!M_Reiseabzug*(JUN!M_Monat=$E180))</f>
        <v>0</v>
      </c>
      <c r="Z180" s="232">
        <f t="shared" si="46"/>
        <v>0</v>
      </c>
      <c r="AA180" s="232">
        <f t="shared" si="36"/>
        <v>0</v>
      </c>
      <c r="AB180" s="232">
        <f t="shared" si="37"/>
        <v>0</v>
      </c>
      <c r="AC180" s="232">
        <f t="shared" si="47"/>
        <v>0</v>
      </c>
      <c r="AD180" s="232">
        <f t="shared" si="48"/>
        <v>0</v>
      </c>
      <c r="AE180" s="232">
        <f t="shared" si="49"/>
        <v>0</v>
      </c>
    </row>
    <row r="181" spans="3:31" s="185" customFormat="1" x14ac:dyDescent="0.2">
      <c r="C181" s="128">
        <v>172</v>
      </c>
      <c r="D181" s="186">
        <f t="shared" si="50"/>
        <v>46194</v>
      </c>
      <c r="E181" s="128">
        <f t="shared" si="38"/>
        <v>6</v>
      </c>
      <c r="F181" s="187">
        <f t="shared" si="39"/>
        <v>46194</v>
      </c>
      <c r="G181" s="128">
        <f t="shared" si="40"/>
        <v>25</v>
      </c>
      <c r="H181" s="128">
        <f t="shared" si="41"/>
        <v>21</v>
      </c>
      <c r="I181" s="128">
        <f t="shared" si="42"/>
        <v>7</v>
      </c>
      <c r="J181" s="188">
        <f t="shared" si="43"/>
        <v>46194</v>
      </c>
      <c r="K181" s="128" t="str" cm="1">
        <f t="array" ref="K181">IF(AND(I181&lt;7,INDEX(B_tblFTMatrix,$E181,$H181)="x"),"ft","")</f>
        <v/>
      </c>
      <c r="L181" s="128"/>
      <c r="M181" s="128"/>
      <c r="N181" s="128">
        <f t="shared" si="34"/>
        <v>0</v>
      </c>
      <c r="O181" s="128">
        <f t="shared" si="44"/>
        <v>0</v>
      </c>
      <c r="P181" s="227">
        <f t="shared" si="35"/>
        <v>0</v>
      </c>
      <c r="Q181" s="229" cm="1">
        <f t="array" ref="Q181">SUMPRODUCT((H_tblBGTage=I181)*(H_tblBGMnt=E181)*H_tblBG%)</f>
        <v>0</v>
      </c>
      <c r="R181" s="227">
        <f t="shared" si="45"/>
        <v>0</v>
      </c>
      <c r="S181" s="233"/>
      <c r="T181" s="233"/>
      <c r="U181" s="232" cm="1">
        <f t="array" ref="U181">SUMPRODUCT((JUN!M_Verweiszeile=$H181)*JUN!M_ProdTag*(JUN!M_Monat=$E181))</f>
        <v>0</v>
      </c>
      <c r="V181" s="232" cm="1">
        <f t="array" ref="V181">SUMPRODUCT((JUN!M_Verweiszeile=$H181)*JUN!M_ProdN1*(JUN!M_Monat=$E181))</f>
        <v>0</v>
      </c>
      <c r="W181" s="232" cm="1">
        <f t="array" ref="W181">SUMPRODUCT((JUN!M_Verweiszeile=$H181)*JUN!M_ProdN2*(JUN!M_Monat=$E181))</f>
        <v>0</v>
      </c>
      <c r="X181" s="232" cm="1">
        <f t="array" ref="X181">SUMPRODUCT((JUN!M_Verweiszeile=$H181)*JUN!M_Reise*(JUN!M_Monat=$E181))</f>
        <v>0</v>
      </c>
      <c r="Y181" s="232" cm="1">
        <f t="array" ref="Y181">SUMPRODUCT((JUN!M_Verweiszeile=$H181)*JUN!M_Reiseabzug*(JUN!M_Monat=$E181))</f>
        <v>0</v>
      </c>
      <c r="Z181" s="232">
        <f t="shared" si="46"/>
        <v>0</v>
      </c>
      <c r="AA181" s="232">
        <f t="shared" si="36"/>
        <v>0</v>
      </c>
      <c r="AB181" s="232">
        <f t="shared" si="37"/>
        <v>0</v>
      </c>
      <c r="AC181" s="232">
        <f t="shared" si="47"/>
        <v>0</v>
      </c>
      <c r="AD181" s="232">
        <f t="shared" si="48"/>
        <v>0</v>
      </c>
      <c r="AE181" s="232">
        <f t="shared" si="49"/>
        <v>0</v>
      </c>
    </row>
    <row r="182" spans="3:31" s="185" customFormat="1" x14ac:dyDescent="0.2">
      <c r="C182" s="128">
        <v>173</v>
      </c>
      <c r="D182" s="186">
        <f t="shared" si="50"/>
        <v>46195</v>
      </c>
      <c r="E182" s="128">
        <f t="shared" si="38"/>
        <v>6</v>
      </c>
      <c r="F182" s="187">
        <f t="shared" si="39"/>
        <v>46195</v>
      </c>
      <c r="G182" s="128">
        <f t="shared" si="40"/>
        <v>26</v>
      </c>
      <c r="H182" s="128">
        <f t="shared" si="41"/>
        <v>22</v>
      </c>
      <c r="I182" s="128">
        <f t="shared" si="42"/>
        <v>1</v>
      </c>
      <c r="J182" s="188">
        <f t="shared" si="43"/>
        <v>46195</v>
      </c>
      <c r="K182" s="128" t="str" cm="1">
        <f t="array" ref="K182">IF(AND(I182&lt;7,INDEX(B_tblFTMatrix,$E182,$H182)="x"),"ft","")</f>
        <v/>
      </c>
      <c r="L182" s="128"/>
      <c r="M182" s="128"/>
      <c r="N182" s="128">
        <f t="shared" si="34"/>
        <v>1</v>
      </c>
      <c r="O182" s="128">
        <f t="shared" si="44"/>
        <v>1</v>
      </c>
      <c r="P182" s="227">
        <f t="shared" si="35"/>
        <v>8</v>
      </c>
      <c r="Q182" s="229" cm="1">
        <f t="array" ref="Q182">SUMPRODUCT((H_tblBGTage=I182)*(H_tblBGMnt=E182)*H_tblBG%)</f>
        <v>1</v>
      </c>
      <c r="R182" s="227">
        <f t="shared" si="45"/>
        <v>8</v>
      </c>
      <c r="S182" s="233"/>
      <c r="T182" s="233"/>
      <c r="U182" s="232" cm="1">
        <f t="array" ref="U182">SUMPRODUCT((JUN!M_Verweiszeile=$H182)*JUN!M_ProdTag*(JUN!M_Monat=$E182))</f>
        <v>0</v>
      </c>
      <c r="V182" s="232" cm="1">
        <f t="array" ref="V182">SUMPRODUCT((JUN!M_Verweiszeile=$H182)*JUN!M_ProdN1*(JUN!M_Monat=$E182))</f>
        <v>0</v>
      </c>
      <c r="W182" s="232" cm="1">
        <f t="array" ref="W182">SUMPRODUCT((JUN!M_Verweiszeile=$H182)*JUN!M_ProdN2*(JUN!M_Monat=$E182))</f>
        <v>0</v>
      </c>
      <c r="X182" s="232" cm="1">
        <f t="array" ref="X182">SUMPRODUCT((JUN!M_Verweiszeile=$H182)*JUN!M_Reise*(JUN!M_Monat=$E182))</f>
        <v>0</v>
      </c>
      <c r="Y182" s="232" cm="1">
        <f t="array" ref="Y182">SUMPRODUCT((JUN!M_Verweiszeile=$H182)*JUN!M_Reiseabzug*(JUN!M_Monat=$E182))</f>
        <v>0</v>
      </c>
      <c r="Z182" s="232">
        <f t="shared" si="46"/>
        <v>0</v>
      </c>
      <c r="AA182" s="232">
        <f t="shared" si="36"/>
        <v>0</v>
      </c>
      <c r="AB182" s="232">
        <f t="shared" si="37"/>
        <v>0</v>
      </c>
      <c r="AC182" s="232">
        <f t="shared" si="47"/>
        <v>0</v>
      </c>
      <c r="AD182" s="232">
        <f t="shared" si="48"/>
        <v>0</v>
      </c>
      <c r="AE182" s="232">
        <f t="shared" si="49"/>
        <v>0</v>
      </c>
    </row>
    <row r="183" spans="3:31" s="185" customFormat="1" x14ac:dyDescent="0.2">
      <c r="C183" s="128">
        <v>174</v>
      </c>
      <c r="D183" s="186">
        <f t="shared" si="50"/>
        <v>46196</v>
      </c>
      <c r="E183" s="128">
        <f t="shared" si="38"/>
        <v>6</v>
      </c>
      <c r="F183" s="187">
        <f t="shared" si="39"/>
        <v>46196</v>
      </c>
      <c r="G183" s="128">
        <f t="shared" si="40"/>
        <v>26</v>
      </c>
      <c r="H183" s="128">
        <f t="shared" si="41"/>
        <v>23</v>
      </c>
      <c r="I183" s="128">
        <f t="shared" si="42"/>
        <v>2</v>
      </c>
      <c r="J183" s="188">
        <f t="shared" si="43"/>
        <v>46196</v>
      </c>
      <c r="K183" s="128" t="str" cm="1">
        <f t="array" ref="K183">IF(AND(I183&lt;7,INDEX(B_tblFTMatrix,$E183,$H183)="x"),"ft","")</f>
        <v/>
      </c>
      <c r="L183" s="128"/>
      <c r="M183" s="128"/>
      <c r="N183" s="128">
        <f t="shared" si="34"/>
        <v>1</v>
      </c>
      <c r="O183" s="128">
        <f t="shared" si="44"/>
        <v>1</v>
      </c>
      <c r="P183" s="227">
        <f t="shared" si="35"/>
        <v>8</v>
      </c>
      <c r="Q183" s="229" cm="1">
        <f t="array" ref="Q183">SUMPRODUCT((H_tblBGTage=I183)*(H_tblBGMnt=E183)*H_tblBG%)</f>
        <v>1</v>
      </c>
      <c r="R183" s="227">
        <f t="shared" si="45"/>
        <v>8</v>
      </c>
      <c r="S183" s="233"/>
      <c r="T183" s="233"/>
      <c r="U183" s="232" cm="1">
        <f t="array" ref="U183">SUMPRODUCT((JUN!M_Verweiszeile=$H183)*JUN!M_ProdTag*(JUN!M_Monat=$E183))</f>
        <v>0</v>
      </c>
      <c r="V183" s="232" cm="1">
        <f t="array" ref="V183">SUMPRODUCT((JUN!M_Verweiszeile=$H183)*JUN!M_ProdN1*(JUN!M_Monat=$E183))</f>
        <v>0</v>
      </c>
      <c r="W183" s="232" cm="1">
        <f t="array" ref="W183">SUMPRODUCT((JUN!M_Verweiszeile=$H183)*JUN!M_ProdN2*(JUN!M_Monat=$E183))</f>
        <v>0</v>
      </c>
      <c r="X183" s="232" cm="1">
        <f t="array" ref="X183">SUMPRODUCT((JUN!M_Verweiszeile=$H183)*JUN!M_Reise*(JUN!M_Monat=$E183))</f>
        <v>0</v>
      </c>
      <c r="Y183" s="232" cm="1">
        <f t="array" ref="Y183">SUMPRODUCT((JUN!M_Verweiszeile=$H183)*JUN!M_Reiseabzug*(JUN!M_Monat=$E183))</f>
        <v>0</v>
      </c>
      <c r="Z183" s="232">
        <f t="shared" si="46"/>
        <v>0</v>
      </c>
      <c r="AA183" s="232">
        <f t="shared" si="36"/>
        <v>0</v>
      </c>
      <c r="AB183" s="232">
        <f t="shared" si="37"/>
        <v>0</v>
      </c>
      <c r="AC183" s="232">
        <f t="shared" si="47"/>
        <v>0</v>
      </c>
      <c r="AD183" s="232">
        <f t="shared" si="48"/>
        <v>0</v>
      </c>
      <c r="AE183" s="232">
        <f t="shared" si="49"/>
        <v>0</v>
      </c>
    </row>
    <row r="184" spans="3:31" s="185" customFormat="1" x14ac:dyDescent="0.2">
      <c r="C184" s="128">
        <v>175</v>
      </c>
      <c r="D184" s="186">
        <f t="shared" si="50"/>
        <v>46197</v>
      </c>
      <c r="E184" s="128">
        <f t="shared" si="38"/>
        <v>6</v>
      </c>
      <c r="F184" s="187">
        <f t="shared" si="39"/>
        <v>46197</v>
      </c>
      <c r="G184" s="128">
        <f t="shared" si="40"/>
        <v>26</v>
      </c>
      <c r="H184" s="128">
        <f t="shared" si="41"/>
        <v>24</v>
      </c>
      <c r="I184" s="128">
        <f t="shared" si="42"/>
        <v>3</v>
      </c>
      <c r="J184" s="188">
        <f t="shared" si="43"/>
        <v>46197</v>
      </c>
      <c r="K184" s="128" t="str" cm="1">
        <f t="array" ref="K184">IF(AND(I184&lt;7,INDEX(B_tblFTMatrix,$E184,$H184)="x"),"ft","")</f>
        <v/>
      </c>
      <c r="L184" s="128"/>
      <c r="M184" s="128"/>
      <c r="N184" s="128">
        <f t="shared" si="34"/>
        <v>1</v>
      </c>
      <c r="O184" s="128">
        <f t="shared" si="44"/>
        <v>1</v>
      </c>
      <c r="P184" s="227">
        <f t="shared" si="35"/>
        <v>8</v>
      </c>
      <c r="Q184" s="229" cm="1">
        <f t="array" ref="Q184">SUMPRODUCT((H_tblBGTage=I184)*(H_tblBGMnt=E184)*H_tblBG%)</f>
        <v>1</v>
      </c>
      <c r="R184" s="227">
        <f t="shared" si="45"/>
        <v>8</v>
      </c>
      <c r="S184" s="233"/>
      <c r="T184" s="233"/>
      <c r="U184" s="232" cm="1">
        <f t="array" ref="U184">SUMPRODUCT((JUN!M_Verweiszeile=$H184)*JUN!M_ProdTag*(JUN!M_Monat=$E184))</f>
        <v>0</v>
      </c>
      <c r="V184" s="232" cm="1">
        <f t="array" ref="V184">SUMPRODUCT((JUN!M_Verweiszeile=$H184)*JUN!M_ProdN1*(JUN!M_Monat=$E184))</f>
        <v>0</v>
      </c>
      <c r="W184" s="232" cm="1">
        <f t="array" ref="W184">SUMPRODUCT((JUN!M_Verweiszeile=$H184)*JUN!M_ProdN2*(JUN!M_Monat=$E184))</f>
        <v>0</v>
      </c>
      <c r="X184" s="232" cm="1">
        <f t="array" ref="X184">SUMPRODUCT((JUN!M_Verweiszeile=$H184)*JUN!M_Reise*(JUN!M_Monat=$E184))</f>
        <v>0</v>
      </c>
      <c r="Y184" s="232" cm="1">
        <f t="array" ref="Y184">SUMPRODUCT((JUN!M_Verweiszeile=$H184)*JUN!M_Reiseabzug*(JUN!M_Monat=$E184))</f>
        <v>0</v>
      </c>
      <c r="Z184" s="232">
        <f t="shared" si="46"/>
        <v>0</v>
      </c>
      <c r="AA184" s="232">
        <f t="shared" si="36"/>
        <v>0</v>
      </c>
      <c r="AB184" s="232">
        <f t="shared" si="37"/>
        <v>0</v>
      </c>
      <c r="AC184" s="232">
        <f t="shared" si="47"/>
        <v>0</v>
      </c>
      <c r="AD184" s="232">
        <f t="shared" si="48"/>
        <v>0</v>
      </c>
      <c r="AE184" s="232">
        <f t="shared" si="49"/>
        <v>0</v>
      </c>
    </row>
    <row r="185" spans="3:31" s="185" customFormat="1" x14ac:dyDescent="0.2">
      <c r="C185" s="128">
        <v>176</v>
      </c>
      <c r="D185" s="186">
        <f t="shared" si="50"/>
        <v>46198</v>
      </c>
      <c r="E185" s="128">
        <f t="shared" si="38"/>
        <v>6</v>
      </c>
      <c r="F185" s="187">
        <f t="shared" si="39"/>
        <v>46198</v>
      </c>
      <c r="G185" s="128">
        <f t="shared" si="40"/>
        <v>26</v>
      </c>
      <c r="H185" s="128">
        <f t="shared" si="41"/>
        <v>25</v>
      </c>
      <c r="I185" s="128">
        <f t="shared" si="42"/>
        <v>4</v>
      </c>
      <c r="J185" s="188">
        <f t="shared" si="43"/>
        <v>46198</v>
      </c>
      <c r="K185" s="128" t="str" cm="1">
        <f t="array" ref="K185">IF(AND(I185&lt;7,INDEX(B_tblFTMatrix,$E185,$H185)="x"),"ft","")</f>
        <v/>
      </c>
      <c r="L185" s="128"/>
      <c r="M185" s="128"/>
      <c r="N185" s="128">
        <f t="shared" si="34"/>
        <v>1</v>
      </c>
      <c r="O185" s="128">
        <f t="shared" si="44"/>
        <v>1</v>
      </c>
      <c r="P185" s="227">
        <f t="shared" si="35"/>
        <v>8</v>
      </c>
      <c r="Q185" s="229" cm="1">
        <f t="array" ref="Q185">SUMPRODUCT((H_tblBGTage=I185)*(H_tblBGMnt=E185)*H_tblBG%)</f>
        <v>1</v>
      </c>
      <c r="R185" s="227">
        <f t="shared" si="45"/>
        <v>8</v>
      </c>
      <c r="S185" s="233"/>
      <c r="T185" s="233"/>
      <c r="U185" s="232" cm="1">
        <f t="array" ref="U185">SUMPRODUCT((JUN!M_Verweiszeile=$H185)*JUN!M_ProdTag*(JUN!M_Monat=$E185))</f>
        <v>0</v>
      </c>
      <c r="V185" s="232" cm="1">
        <f t="array" ref="V185">SUMPRODUCT((JUN!M_Verweiszeile=$H185)*JUN!M_ProdN1*(JUN!M_Monat=$E185))</f>
        <v>0</v>
      </c>
      <c r="W185" s="232" cm="1">
        <f t="array" ref="W185">SUMPRODUCT((JUN!M_Verweiszeile=$H185)*JUN!M_ProdN2*(JUN!M_Monat=$E185))</f>
        <v>0</v>
      </c>
      <c r="X185" s="232" cm="1">
        <f t="array" ref="X185">SUMPRODUCT((JUN!M_Verweiszeile=$H185)*JUN!M_Reise*(JUN!M_Monat=$E185))</f>
        <v>0</v>
      </c>
      <c r="Y185" s="232" cm="1">
        <f t="array" ref="Y185">SUMPRODUCT((JUN!M_Verweiszeile=$H185)*JUN!M_Reiseabzug*(JUN!M_Monat=$E185))</f>
        <v>0</v>
      </c>
      <c r="Z185" s="232">
        <f t="shared" si="46"/>
        <v>0</v>
      </c>
      <c r="AA185" s="232">
        <f t="shared" si="36"/>
        <v>0</v>
      </c>
      <c r="AB185" s="232">
        <f t="shared" si="37"/>
        <v>0</v>
      </c>
      <c r="AC185" s="232">
        <f t="shared" si="47"/>
        <v>0</v>
      </c>
      <c r="AD185" s="232">
        <f t="shared" si="48"/>
        <v>0</v>
      </c>
      <c r="AE185" s="232">
        <f t="shared" si="49"/>
        <v>0</v>
      </c>
    </row>
    <row r="186" spans="3:31" s="185" customFormat="1" x14ac:dyDescent="0.2">
      <c r="C186" s="128">
        <v>177</v>
      </c>
      <c r="D186" s="186">
        <f t="shared" si="50"/>
        <v>46199</v>
      </c>
      <c r="E186" s="128">
        <f t="shared" si="38"/>
        <v>6</v>
      </c>
      <c r="F186" s="187">
        <f t="shared" si="39"/>
        <v>46199</v>
      </c>
      <c r="G186" s="128">
        <f t="shared" si="40"/>
        <v>26</v>
      </c>
      <c r="H186" s="128">
        <f t="shared" si="41"/>
        <v>26</v>
      </c>
      <c r="I186" s="128">
        <f t="shared" si="42"/>
        <v>5</v>
      </c>
      <c r="J186" s="188">
        <f t="shared" si="43"/>
        <v>46199</v>
      </c>
      <c r="K186" s="128" t="str" cm="1">
        <f t="array" ref="K186">IF(AND(I186&lt;7,INDEX(B_tblFTMatrix,$E186,$H186)="x"),"ft","")</f>
        <v/>
      </c>
      <c r="L186" s="128"/>
      <c r="M186" s="128"/>
      <c r="N186" s="128">
        <f t="shared" si="34"/>
        <v>1</v>
      </c>
      <c r="O186" s="128">
        <f t="shared" si="44"/>
        <v>1</v>
      </c>
      <c r="P186" s="227">
        <f t="shared" si="35"/>
        <v>8</v>
      </c>
      <c r="Q186" s="229" cm="1">
        <f t="array" ref="Q186">SUMPRODUCT((H_tblBGTage=I186)*(H_tblBGMnt=E186)*H_tblBG%)</f>
        <v>1</v>
      </c>
      <c r="R186" s="227">
        <f t="shared" si="45"/>
        <v>8</v>
      </c>
      <c r="S186" s="233"/>
      <c r="T186" s="233"/>
      <c r="U186" s="232" cm="1">
        <f t="array" ref="U186">SUMPRODUCT((JUN!M_Verweiszeile=$H186)*JUN!M_ProdTag*(JUN!M_Monat=$E186))</f>
        <v>0</v>
      </c>
      <c r="V186" s="232" cm="1">
        <f t="array" ref="V186">SUMPRODUCT((JUN!M_Verweiszeile=$H186)*JUN!M_ProdN1*(JUN!M_Monat=$E186))</f>
        <v>0</v>
      </c>
      <c r="W186" s="232" cm="1">
        <f t="array" ref="W186">SUMPRODUCT((JUN!M_Verweiszeile=$H186)*JUN!M_ProdN2*(JUN!M_Monat=$E186))</f>
        <v>0</v>
      </c>
      <c r="X186" s="232" cm="1">
        <f t="array" ref="X186">SUMPRODUCT((JUN!M_Verweiszeile=$H186)*JUN!M_Reise*(JUN!M_Monat=$E186))</f>
        <v>0</v>
      </c>
      <c r="Y186" s="232" cm="1">
        <f t="array" ref="Y186">SUMPRODUCT((JUN!M_Verweiszeile=$H186)*JUN!M_Reiseabzug*(JUN!M_Monat=$E186))</f>
        <v>0</v>
      </c>
      <c r="Z186" s="232">
        <f t="shared" si="46"/>
        <v>0</v>
      </c>
      <c r="AA186" s="232">
        <f t="shared" si="36"/>
        <v>0</v>
      </c>
      <c r="AB186" s="232">
        <f t="shared" si="37"/>
        <v>0</v>
      </c>
      <c r="AC186" s="232">
        <f t="shared" si="47"/>
        <v>0</v>
      </c>
      <c r="AD186" s="232">
        <f t="shared" si="48"/>
        <v>0</v>
      </c>
      <c r="AE186" s="232">
        <f t="shared" si="49"/>
        <v>0</v>
      </c>
    </row>
    <row r="187" spans="3:31" s="185" customFormat="1" x14ac:dyDescent="0.2">
      <c r="C187" s="128">
        <v>178</v>
      </c>
      <c r="D187" s="186">
        <f t="shared" si="50"/>
        <v>46200</v>
      </c>
      <c r="E187" s="128">
        <f t="shared" si="38"/>
        <v>6</v>
      </c>
      <c r="F187" s="187">
        <f t="shared" si="39"/>
        <v>46200</v>
      </c>
      <c r="G187" s="128">
        <f t="shared" si="40"/>
        <v>26</v>
      </c>
      <c r="H187" s="128">
        <f t="shared" si="41"/>
        <v>27</v>
      </c>
      <c r="I187" s="128">
        <f t="shared" si="42"/>
        <v>6</v>
      </c>
      <c r="J187" s="188">
        <f t="shared" si="43"/>
        <v>46200</v>
      </c>
      <c r="K187" s="128" t="str" cm="1">
        <f t="array" ref="K187">IF(AND(I187&lt;7,INDEX(B_tblFTMatrix,$E187,$H187)="x"),"ft","")</f>
        <v/>
      </c>
      <c r="L187" s="128"/>
      <c r="M187" s="128"/>
      <c r="N187" s="128">
        <f t="shared" si="34"/>
        <v>0</v>
      </c>
      <c r="O187" s="128">
        <f t="shared" si="44"/>
        <v>0</v>
      </c>
      <c r="P187" s="227">
        <f t="shared" si="35"/>
        <v>0</v>
      </c>
      <c r="Q187" s="229" cm="1">
        <f t="array" ref="Q187">SUMPRODUCT((H_tblBGTage=I187)*(H_tblBGMnt=E187)*H_tblBG%)</f>
        <v>0</v>
      </c>
      <c r="R187" s="227">
        <f t="shared" si="45"/>
        <v>0</v>
      </c>
      <c r="S187" s="233"/>
      <c r="T187" s="233"/>
      <c r="U187" s="232" cm="1">
        <f t="array" ref="U187">SUMPRODUCT((JUN!M_Verweiszeile=$H187)*JUN!M_ProdTag*(JUN!M_Monat=$E187))</f>
        <v>0</v>
      </c>
      <c r="V187" s="232" cm="1">
        <f t="array" ref="V187">SUMPRODUCT((JUN!M_Verweiszeile=$H187)*JUN!M_ProdN1*(JUN!M_Monat=$E187))</f>
        <v>0</v>
      </c>
      <c r="W187" s="232" cm="1">
        <f t="array" ref="W187">SUMPRODUCT((JUN!M_Verweiszeile=$H187)*JUN!M_ProdN2*(JUN!M_Monat=$E187))</f>
        <v>0</v>
      </c>
      <c r="X187" s="232" cm="1">
        <f t="array" ref="X187">SUMPRODUCT((JUN!M_Verweiszeile=$H187)*JUN!M_Reise*(JUN!M_Monat=$E187))</f>
        <v>0</v>
      </c>
      <c r="Y187" s="232" cm="1">
        <f t="array" ref="Y187">SUMPRODUCT((JUN!M_Verweiszeile=$H187)*JUN!M_Reiseabzug*(JUN!M_Monat=$E187))</f>
        <v>0</v>
      </c>
      <c r="Z187" s="232">
        <f t="shared" si="46"/>
        <v>0</v>
      </c>
      <c r="AA187" s="232">
        <f t="shared" si="36"/>
        <v>0</v>
      </c>
      <c r="AB187" s="232">
        <f t="shared" si="37"/>
        <v>0</v>
      </c>
      <c r="AC187" s="232">
        <f t="shared" si="47"/>
        <v>0</v>
      </c>
      <c r="AD187" s="232">
        <f t="shared" si="48"/>
        <v>0</v>
      </c>
      <c r="AE187" s="232">
        <f t="shared" si="49"/>
        <v>0</v>
      </c>
    </row>
    <row r="188" spans="3:31" s="185" customFormat="1" x14ac:dyDescent="0.2">
      <c r="C188" s="128">
        <v>179</v>
      </c>
      <c r="D188" s="186">
        <f t="shared" si="50"/>
        <v>46201</v>
      </c>
      <c r="E188" s="128">
        <f t="shared" si="38"/>
        <v>6</v>
      </c>
      <c r="F188" s="187">
        <f t="shared" si="39"/>
        <v>46201</v>
      </c>
      <c r="G188" s="128">
        <f t="shared" si="40"/>
        <v>26</v>
      </c>
      <c r="H188" s="128">
        <f t="shared" si="41"/>
        <v>28</v>
      </c>
      <c r="I188" s="128">
        <f t="shared" si="42"/>
        <v>7</v>
      </c>
      <c r="J188" s="188">
        <f t="shared" si="43"/>
        <v>46201</v>
      </c>
      <c r="K188" s="128" t="str" cm="1">
        <f t="array" ref="K188">IF(AND(I188&lt;7,INDEX(B_tblFTMatrix,$E188,$H188)="x"),"ft","")</f>
        <v/>
      </c>
      <c r="L188" s="128"/>
      <c r="M188" s="128"/>
      <c r="N188" s="128">
        <f t="shared" si="34"/>
        <v>0</v>
      </c>
      <c r="O188" s="128">
        <f t="shared" si="44"/>
        <v>0</v>
      </c>
      <c r="P188" s="227">
        <f t="shared" si="35"/>
        <v>0</v>
      </c>
      <c r="Q188" s="229" cm="1">
        <f t="array" ref="Q188">SUMPRODUCT((H_tblBGTage=I188)*(H_tblBGMnt=E188)*H_tblBG%)</f>
        <v>0</v>
      </c>
      <c r="R188" s="227">
        <f t="shared" si="45"/>
        <v>0</v>
      </c>
      <c r="S188" s="233"/>
      <c r="T188" s="233"/>
      <c r="U188" s="232" cm="1">
        <f t="array" ref="U188">SUMPRODUCT((JUN!M_Verweiszeile=$H188)*JUN!M_ProdTag*(JUN!M_Monat=$E188))</f>
        <v>0</v>
      </c>
      <c r="V188" s="232" cm="1">
        <f t="array" ref="V188">SUMPRODUCT((JUN!M_Verweiszeile=$H188)*JUN!M_ProdN1*(JUN!M_Monat=$E188))</f>
        <v>0</v>
      </c>
      <c r="W188" s="232" cm="1">
        <f t="array" ref="W188">SUMPRODUCT((JUN!M_Verweiszeile=$H188)*JUN!M_ProdN2*(JUN!M_Monat=$E188))</f>
        <v>0</v>
      </c>
      <c r="X188" s="232" cm="1">
        <f t="array" ref="X188">SUMPRODUCT((JUN!M_Verweiszeile=$H188)*JUN!M_Reise*(JUN!M_Monat=$E188))</f>
        <v>0</v>
      </c>
      <c r="Y188" s="232" cm="1">
        <f t="array" ref="Y188">SUMPRODUCT((JUN!M_Verweiszeile=$H188)*JUN!M_Reiseabzug*(JUN!M_Monat=$E188))</f>
        <v>0</v>
      </c>
      <c r="Z188" s="232">
        <f t="shared" si="46"/>
        <v>0</v>
      </c>
      <c r="AA188" s="232">
        <f t="shared" si="36"/>
        <v>0</v>
      </c>
      <c r="AB188" s="232">
        <f t="shared" si="37"/>
        <v>0</v>
      </c>
      <c r="AC188" s="232">
        <f t="shared" si="47"/>
        <v>0</v>
      </c>
      <c r="AD188" s="232">
        <f t="shared" si="48"/>
        <v>0</v>
      </c>
      <c r="AE188" s="232">
        <f t="shared" si="49"/>
        <v>0</v>
      </c>
    </row>
    <row r="189" spans="3:31" s="185" customFormat="1" x14ac:dyDescent="0.2">
      <c r="C189" s="128">
        <v>180</v>
      </c>
      <c r="D189" s="186">
        <f t="shared" si="50"/>
        <v>46202</v>
      </c>
      <c r="E189" s="128">
        <f t="shared" si="38"/>
        <v>6</v>
      </c>
      <c r="F189" s="187">
        <f t="shared" si="39"/>
        <v>46202</v>
      </c>
      <c r="G189" s="128">
        <f t="shared" si="40"/>
        <v>27</v>
      </c>
      <c r="H189" s="128">
        <f t="shared" si="41"/>
        <v>29</v>
      </c>
      <c r="I189" s="128">
        <f t="shared" si="42"/>
        <v>1</v>
      </c>
      <c r="J189" s="188">
        <f t="shared" si="43"/>
        <v>46202</v>
      </c>
      <c r="K189" s="128" t="str" cm="1">
        <f t="array" ref="K189">IF(AND(I189&lt;7,INDEX(B_tblFTMatrix,$E189,$H189)="x"),"ft","")</f>
        <v/>
      </c>
      <c r="L189" s="128"/>
      <c r="M189" s="128"/>
      <c r="N189" s="128">
        <f t="shared" si="34"/>
        <v>1</v>
      </c>
      <c r="O189" s="128">
        <f t="shared" si="44"/>
        <v>1</v>
      </c>
      <c r="P189" s="227">
        <f t="shared" si="35"/>
        <v>8</v>
      </c>
      <c r="Q189" s="229" cm="1">
        <f t="array" ref="Q189">SUMPRODUCT((H_tblBGTage=I189)*(H_tblBGMnt=E189)*H_tblBG%)</f>
        <v>1</v>
      </c>
      <c r="R189" s="227">
        <f t="shared" si="45"/>
        <v>8</v>
      </c>
      <c r="S189" s="233"/>
      <c r="T189" s="233"/>
      <c r="U189" s="232" cm="1">
        <f t="array" ref="U189">SUMPRODUCT((JUN!M_Verweiszeile=$H189)*JUN!M_ProdTag*(JUN!M_Monat=$E189))</f>
        <v>0</v>
      </c>
      <c r="V189" s="232" cm="1">
        <f t="array" ref="V189">SUMPRODUCT((JUN!M_Verweiszeile=$H189)*JUN!M_ProdN1*(JUN!M_Monat=$E189))</f>
        <v>0</v>
      </c>
      <c r="W189" s="232" cm="1">
        <f t="array" ref="W189">SUMPRODUCT((JUN!M_Verweiszeile=$H189)*JUN!M_ProdN2*(JUN!M_Monat=$E189))</f>
        <v>0</v>
      </c>
      <c r="X189" s="232" cm="1">
        <f t="array" ref="X189">SUMPRODUCT((JUN!M_Verweiszeile=$H189)*JUN!M_Reise*(JUN!M_Monat=$E189))</f>
        <v>0</v>
      </c>
      <c r="Y189" s="232" cm="1">
        <f t="array" ref="Y189">SUMPRODUCT((JUN!M_Verweiszeile=$H189)*JUN!M_Reiseabzug*(JUN!M_Monat=$E189))</f>
        <v>0</v>
      </c>
      <c r="Z189" s="232">
        <f t="shared" si="46"/>
        <v>0</v>
      </c>
      <c r="AA189" s="232">
        <f t="shared" si="36"/>
        <v>0</v>
      </c>
      <c r="AB189" s="232">
        <f t="shared" si="37"/>
        <v>0</v>
      </c>
      <c r="AC189" s="232">
        <f t="shared" si="47"/>
        <v>0</v>
      </c>
      <c r="AD189" s="232">
        <f t="shared" si="48"/>
        <v>0</v>
      </c>
      <c r="AE189" s="232">
        <f t="shared" si="49"/>
        <v>0</v>
      </c>
    </row>
    <row r="190" spans="3:31" s="185" customFormat="1" x14ac:dyDescent="0.2">
      <c r="C190" s="128">
        <v>181</v>
      </c>
      <c r="D190" s="186">
        <f t="shared" si="50"/>
        <v>46203</v>
      </c>
      <c r="E190" s="128">
        <f t="shared" si="38"/>
        <v>6</v>
      </c>
      <c r="F190" s="187">
        <f t="shared" si="39"/>
        <v>46203</v>
      </c>
      <c r="G190" s="128">
        <f t="shared" si="40"/>
        <v>27</v>
      </c>
      <c r="H190" s="128">
        <f t="shared" si="41"/>
        <v>30</v>
      </c>
      <c r="I190" s="128">
        <f t="shared" si="42"/>
        <v>2</v>
      </c>
      <c r="J190" s="188">
        <f t="shared" si="43"/>
        <v>46203</v>
      </c>
      <c r="K190" s="128" t="str" cm="1">
        <f t="array" ref="K190">IF(AND(I190&lt;7,INDEX(B_tblFTMatrix,$E190,$H190)="x"),"ft","")</f>
        <v/>
      </c>
      <c r="L190" s="128"/>
      <c r="M190" s="128"/>
      <c r="N190" s="128">
        <f t="shared" si="34"/>
        <v>1</v>
      </c>
      <c r="O190" s="128">
        <f t="shared" si="44"/>
        <v>1</v>
      </c>
      <c r="P190" s="227">
        <f t="shared" si="35"/>
        <v>8</v>
      </c>
      <c r="Q190" s="229" cm="1">
        <f t="array" ref="Q190">SUMPRODUCT((H_tblBGTage=I190)*(H_tblBGMnt=E190)*H_tblBG%)</f>
        <v>1</v>
      </c>
      <c r="R190" s="227">
        <f t="shared" si="45"/>
        <v>8</v>
      </c>
      <c r="S190" s="233"/>
      <c r="T190" s="233"/>
      <c r="U190" s="232" cm="1">
        <f t="array" ref="U190">SUMPRODUCT((JUN!M_Verweiszeile=$H190)*JUN!M_ProdTag*(JUN!M_Monat=$E190))</f>
        <v>0</v>
      </c>
      <c r="V190" s="232" cm="1">
        <f t="array" ref="V190">SUMPRODUCT((JUN!M_Verweiszeile=$H190)*JUN!M_ProdN1*(JUN!M_Monat=$E190))</f>
        <v>0</v>
      </c>
      <c r="W190" s="232" cm="1">
        <f t="array" ref="W190">SUMPRODUCT((JUN!M_Verweiszeile=$H190)*JUN!M_ProdN2*(JUN!M_Monat=$E190))</f>
        <v>0</v>
      </c>
      <c r="X190" s="232" cm="1">
        <f t="array" ref="X190">SUMPRODUCT((JUN!M_Verweiszeile=$H190)*JUN!M_Reise*(JUN!M_Monat=$E190))</f>
        <v>0</v>
      </c>
      <c r="Y190" s="232" cm="1">
        <f t="array" ref="Y190">SUMPRODUCT((JUN!M_Verweiszeile=$H190)*JUN!M_Reiseabzug*(JUN!M_Monat=$E190))</f>
        <v>0</v>
      </c>
      <c r="Z190" s="232">
        <f t="shared" si="46"/>
        <v>0</v>
      </c>
      <c r="AA190" s="232">
        <f t="shared" si="36"/>
        <v>0</v>
      </c>
      <c r="AB190" s="232">
        <f t="shared" si="37"/>
        <v>0</v>
      </c>
      <c r="AC190" s="232">
        <f t="shared" si="47"/>
        <v>0</v>
      </c>
      <c r="AD190" s="232">
        <f t="shared" si="48"/>
        <v>0</v>
      </c>
      <c r="AE190" s="232">
        <f t="shared" si="49"/>
        <v>0</v>
      </c>
    </row>
    <row r="191" spans="3:31" s="185" customFormat="1" x14ac:dyDescent="0.2">
      <c r="C191" s="128">
        <v>182</v>
      </c>
      <c r="D191" s="186">
        <f t="shared" si="50"/>
        <v>46204</v>
      </c>
      <c r="E191" s="128">
        <f t="shared" si="38"/>
        <v>7</v>
      </c>
      <c r="F191" s="187">
        <f t="shared" si="39"/>
        <v>46204</v>
      </c>
      <c r="G191" s="128">
        <f t="shared" si="40"/>
        <v>27</v>
      </c>
      <c r="H191" s="128">
        <f t="shared" si="41"/>
        <v>1</v>
      </c>
      <c r="I191" s="128">
        <f t="shared" si="42"/>
        <v>3</v>
      </c>
      <c r="J191" s="188">
        <f t="shared" si="43"/>
        <v>46204</v>
      </c>
      <c r="K191" s="128" t="str" cm="1">
        <f t="array" ref="K191">IF(AND(I191&lt;7,INDEX(B_tblFTMatrix,$E191,$H191)="x"),"ft","")</f>
        <v/>
      </c>
      <c r="L191" s="128"/>
      <c r="M191" s="128"/>
      <c r="N191" s="128">
        <f t="shared" si="34"/>
        <v>1</v>
      </c>
      <c r="O191" s="128">
        <f t="shared" si="44"/>
        <v>1</v>
      </c>
      <c r="P191" s="227">
        <f t="shared" si="35"/>
        <v>8</v>
      </c>
      <c r="Q191" s="229" cm="1">
        <f t="array" ref="Q191">SUMPRODUCT((H_tblBGTage=I191)*(H_tblBGMnt=E191)*H_tblBG%)</f>
        <v>1</v>
      </c>
      <c r="R191" s="227">
        <f t="shared" si="45"/>
        <v>8</v>
      </c>
      <c r="S191" s="233"/>
      <c r="T191" s="233"/>
      <c r="U191" s="311" cm="1">
        <f t="array" ref="U191">SUMPRODUCT((JUN!M_Verweiszeile=$H191)*JUN!M_ProdTag*(JUN!M_Monat=$E191))+SUMPRODUCT((JUL!M_Verweiszeile=$H191)*JUL!M_ProdTag*(JUL!M_Monat=$E191))</f>
        <v>0</v>
      </c>
      <c r="V191" s="232" cm="1">
        <f t="array" ref="V191">SUMPRODUCT((JUN!M_Verweiszeile=$H191)*JUN!M_ProdN1*(JUN!M_Monat=$E191))+SUMPRODUCT((JUL!M_Verweiszeile=$H191)*JUL!M_ProdN1*(JUL!M_Monat=$E191))</f>
        <v>0</v>
      </c>
      <c r="W191" s="232" cm="1">
        <f t="array" ref="W191">SUMPRODUCT((JUN!M_Verweiszeile=$H191)*JUN!M_ProdN2*(JUN!M_Monat=$E191))+SUMPRODUCT((JUL!M_Verweiszeile=$H191)*JUL!M_ProdN2*(JUL!M_Monat=$E191))</f>
        <v>0</v>
      </c>
      <c r="X191" s="232" cm="1">
        <f t="array" ref="X191">SUMPRODUCT((JUN!M_Verweiszeile=$H191)*JUN!M_Reise*(JUN!M_Monat=$E191))+SUMPRODUCT((JUL!M_Verweiszeile=$H191)*JUL!M_Reise*(JUL!M_Monat=$E191))</f>
        <v>0</v>
      </c>
      <c r="Y191" s="232" cm="1">
        <f t="array" ref="Y191">SUMPRODUCT((JUN!M_Verweiszeile=$H191)*JUN!M_Reiseabzug*(JUN!M_Monat=$E191))+SUMPRODUCT((JUL!M_Verweiszeile=$H191)*JUL!M_Reiseabzug*(JUL!M_Monat=$E191))</f>
        <v>0</v>
      </c>
      <c r="Z191" s="232">
        <f t="shared" si="46"/>
        <v>0</v>
      </c>
      <c r="AA191" s="232">
        <f t="shared" si="36"/>
        <v>0</v>
      </c>
      <c r="AB191" s="232">
        <f t="shared" si="37"/>
        <v>0</v>
      </c>
      <c r="AC191" s="232">
        <f t="shared" si="47"/>
        <v>0</v>
      </c>
      <c r="AD191" s="232">
        <f t="shared" si="48"/>
        <v>0</v>
      </c>
      <c r="AE191" s="232">
        <f t="shared" si="49"/>
        <v>0</v>
      </c>
    </row>
    <row r="192" spans="3:31" s="185" customFormat="1" x14ac:dyDescent="0.2">
      <c r="C192" s="128">
        <v>183</v>
      </c>
      <c r="D192" s="186">
        <f t="shared" si="50"/>
        <v>46205</v>
      </c>
      <c r="E192" s="128">
        <f t="shared" si="38"/>
        <v>7</v>
      </c>
      <c r="F192" s="187">
        <f t="shared" si="39"/>
        <v>46205</v>
      </c>
      <c r="G192" s="128">
        <f t="shared" si="40"/>
        <v>27</v>
      </c>
      <c r="H192" s="128">
        <f t="shared" si="41"/>
        <v>2</v>
      </c>
      <c r="I192" s="128">
        <f t="shared" si="42"/>
        <v>4</v>
      </c>
      <c r="J192" s="188">
        <f t="shared" si="43"/>
        <v>46205</v>
      </c>
      <c r="K192" s="128" t="str" cm="1">
        <f t="array" ref="K192">IF(AND(I192&lt;7,INDEX(B_tblFTMatrix,$E192,$H192)="x"),"ft","")</f>
        <v/>
      </c>
      <c r="L192" s="128"/>
      <c r="M192" s="128"/>
      <c r="N192" s="128">
        <f t="shared" si="34"/>
        <v>1</v>
      </c>
      <c r="O192" s="128">
        <f t="shared" si="44"/>
        <v>1</v>
      </c>
      <c r="P192" s="227">
        <f t="shared" si="35"/>
        <v>8</v>
      </c>
      <c r="Q192" s="229" cm="1">
        <f t="array" ref="Q192">SUMPRODUCT((H_tblBGTage=I192)*(H_tblBGMnt=E192)*H_tblBG%)</f>
        <v>1</v>
      </c>
      <c r="R192" s="227">
        <f t="shared" si="45"/>
        <v>8</v>
      </c>
      <c r="S192" s="233"/>
      <c r="T192" s="233"/>
      <c r="U192" s="311" cm="1">
        <f t="array" ref="U192">SUMPRODUCT((JUL!M_Verweiszeile=$H192)*JUL!M_ProdTag*(JUL!M_Monat=$E192))</f>
        <v>0</v>
      </c>
      <c r="V192" s="232" cm="1">
        <f t="array" ref="V192">SUMPRODUCT((JUL!M_Verweiszeile=$H192)*JUL!M_ProdN1*(JUL!M_Monat=$E192))</f>
        <v>0</v>
      </c>
      <c r="W192" s="232" cm="1">
        <f t="array" ref="W192">SUMPRODUCT((JUL!M_Verweiszeile=$H192)*JUL!M_ProdN2*(JUL!M_Monat=$E192))</f>
        <v>0</v>
      </c>
      <c r="X192" s="232" cm="1">
        <f t="array" ref="X192">SUMPRODUCT((JUL!M_Verweiszeile=$H192)*JUL!M_Reise*(JUL!M_Monat=$E192))</f>
        <v>0</v>
      </c>
      <c r="Y192" s="232" cm="1">
        <f t="array" ref="Y192">SUMPRODUCT((JUL!M_Verweiszeile=$H192)*JUL!M_Reiseabzug*(JUL!M_Monat=$E192))</f>
        <v>0</v>
      </c>
      <c r="Z192" s="232">
        <f t="shared" si="46"/>
        <v>0</v>
      </c>
      <c r="AA192" s="232">
        <f t="shared" si="36"/>
        <v>0</v>
      </c>
      <c r="AB192" s="232">
        <f t="shared" si="37"/>
        <v>0</v>
      </c>
      <c r="AC192" s="232">
        <f t="shared" si="47"/>
        <v>0</v>
      </c>
      <c r="AD192" s="232">
        <f t="shared" si="48"/>
        <v>0</v>
      </c>
      <c r="AE192" s="232">
        <f t="shared" si="49"/>
        <v>0</v>
      </c>
    </row>
    <row r="193" spans="3:31" s="185" customFormat="1" x14ac:dyDescent="0.2">
      <c r="C193" s="128">
        <v>184</v>
      </c>
      <c r="D193" s="186">
        <f t="shared" si="50"/>
        <v>46206</v>
      </c>
      <c r="E193" s="128">
        <f t="shared" si="38"/>
        <v>7</v>
      </c>
      <c r="F193" s="187">
        <f t="shared" si="39"/>
        <v>46206</v>
      </c>
      <c r="G193" s="128">
        <f t="shared" si="40"/>
        <v>27</v>
      </c>
      <c r="H193" s="128">
        <f t="shared" si="41"/>
        <v>3</v>
      </c>
      <c r="I193" s="128">
        <f t="shared" si="42"/>
        <v>5</v>
      </c>
      <c r="J193" s="188">
        <f t="shared" si="43"/>
        <v>46206</v>
      </c>
      <c r="K193" s="128" t="str" cm="1">
        <f t="array" ref="K193">IF(AND(I193&lt;7,INDEX(B_tblFTMatrix,$E193,$H193)="x"),"ft","")</f>
        <v/>
      </c>
      <c r="L193" s="128"/>
      <c r="M193" s="128"/>
      <c r="N193" s="128">
        <f t="shared" si="34"/>
        <v>1</v>
      </c>
      <c r="O193" s="128">
        <f t="shared" si="44"/>
        <v>1</v>
      </c>
      <c r="P193" s="227">
        <f t="shared" si="35"/>
        <v>8</v>
      </c>
      <c r="Q193" s="229" cm="1">
        <f t="array" ref="Q193">SUMPRODUCT((H_tblBGTage=I193)*(H_tblBGMnt=E193)*H_tblBG%)</f>
        <v>1</v>
      </c>
      <c r="R193" s="227">
        <f t="shared" si="45"/>
        <v>8</v>
      </c>
      <c r="S193" s="233"/>
      <c r="T193" s="233"/>
      <c r="U193" s="232" cm="1">
        <f t="array" ref="U193">SUMPRODUCT((JUL!M_Verweiszeile=$H193)*JUL!M_ProdTag*(JUL!M_Monat=$E193))</f>
        <v>0</v>
      </c>
      <c r="V193" s="232" cm="1">
        <f t="array" ref="V193">SUMPRODUCT((JUL!M_Verweiszeile=$H193)*JUL!M_ProdN1*(JUL!M_Monat=$E193))</f>
        <v>0</v>
      </c>
      <c r="W193" s="232" cm="1">
        <f t="array" ref="W193">SUMPRODUCT((JUL!M_Verweiszeile=$H193)*JUL!M_ProdN2*(JUL!M_Monat=$E193))</f>
        <v>0</v>
      </c>
      <c r="X193" s="232" cm="1">
        <f t="array" ref="X193">SUMPRODUCT((JUL!M_Verweiszeile=$H193)*JUL!M_Reise*(JUL!M_Monat=$E193))</f>
        <v>0</v>
      </c>
      <c r="Y193" s="232" cm="1">
        <f t="array" ref="Y193">SUMPRODUCT((JUL!M_Verweiszeile=$H193)*JUL!M_Reiseabzug*(JUL!M_Monat=$E193))</f>
        <v>0</v>
      </c>
      <c r="Z193" s="232">
        <f t="shared" si="46"/>
        <v>0</v>
      </c>
      <c r="AA193" s="232">
        <f t="shared" si="36"/>
        <v>0</v>
      </c>
      <c r="AB193" s="232">
        <f t="shared" si="37"/>
        <v>0</v>
      </c>
      <c r="AC193" s="232">
        <f t="shared" si="47"/>
        <v>0</v>
      </c>
      <c r="AD193" s="232">
        <f t="shared" si="48"/>
        <v>0</v>
      </c>
      <c r="AE193" s="232">
        <f t="shared" si="49"/>
        <v>0</v>
      </c>
    </row>
    <row r="194" spans="3:31" s="185" customFormat="1" x14ac:dyDescent="0.2">
      <c r="C194" s="128">
        <v>185</v>
      </c>
      <c r="D194" s="186">
        <f t="shared" si="50"/>
        <v>46207</v>
      </c>
      <c r="E194" s="128">
        <f t="shared" si="38"/>
        <v>7</v>
      </c>
      <c r="F194" s="187">
        <f t="shared" si="39"/>
        <v>46207</v>
      </c>
      <c r="G194" s="128">
        <f t="shared" si="40"/>
        <v>27</v>
      </c>
      <c r="H194" s="128">
        <f t="shared" si="41"/>
        <v>4</v>
      </c>
      <c r="I194" s="128">
        <f t="shared" si="42"/>
        <v>6</v>
      </c>
      <c r="J194" s="188">
        <f t="shared" si="43"/>
        <v>46207</v>
      </c>
      <c r="K194" s="128" t="str" cm="1">
        <f t="array" ref="K194">IF(AND(I194&lt;7,INDEX(B_tblFTMatrix,$E194,$H194)="x"),"ft","")</f>
        <v/>
      </c>
      <c r="L194" s="128"/>
      <c r="M194" s="128"/>
      <c r="N194" s="128">
        <f t="shared" si="34"/>
        <v>0</v>
      </c>
      <c r="O194" s="128">
        <f t="shared" si="44"/>
        <v>0</v>
      </c>
      <c r="P194" s="227">
        <f t="shared" si="35"/>
        <v>0</v>
      </c>
      <c r="Q194" s="229" cm="1">
        <f t="array" ref="Q194">SUMPRODUCT((H_tblBGTage=I194)*(H_tblBGMnt=E194)*H_tblBG%)</f>
        <v>0</v>
      </c>
      <c r="R194" s="227">
        <f t="shared" si="45"/>
        <v>0</v>
      </c>
      <c r="S194" s="233"/>
      <c r="T194" s="233"/>
      <c r="U194" s="232" cm="1">
        <f t="array" ref="U194">SUMPRODUCT((JUL!M_Verweiszeile=$H194)*JUL!M_ProdTag*(JUL!M_Monat=$E194))</f>
        <v>0</v>
      </c>
      <c r="V194" s="232" cm="1">
        <f t="array" ref="V194">SUMPRODUCT((JUL!M_Verweiszeile=$H194)*JUL!M_ProdN1*(JUL!M_Monat=$E194))</f>
        <v>0</v>
      </c>
      <c r="W194" s="232" cm="1">
        <f t="array" ref="W194">SUMPRODUCT((JUL!M_Verweiszeile=$H194)*JUL!M_ProdN2*(JUL!M_Monat=$E194))</f>
        <v>0</v>
      </c>
      <c r="X194" s="232" cm="1">
        <f t="array" ref="X194">SUMPRODUCT((JUL!M_Verweiszeile=$H194)*JUL!M_Reise*(JUL!M_Monat=$E194))</f>
        <v>0</v>
      </c>
      <c r="Y194" s="232" cm="1">
        <f t="array" ref="Y194">SUMPRODUCT((JUL!M_Verweiszeile=$H194)*JUL!M_Reiseabzug*(JUL!M_Monat=$E194))</f>
        <v>0</v>
      </c>
      <c r="Z194" s="232">
        <f t="shared" si="46"/>
        <v>0</v>
      </c>
      <c r="AA194" s="232">
        <f t="shared" si="36"/>
        <v>0</v>
      </c>
      <c r="AB194" s="232">
        <f t="shared" si="37"/>
        <v>0</v>
      </c>
      <c r="AC194" s="232">
        <f t="shared" si="47"/>
        <v>0</v>
      </c>
      <c r="AD194" s="232">
        <f t="shared" si="48"/>
        <v>0</v>
      </c>
      <c r="AE194" s="232">
        <f t="shared" si="49"/>
        <v>0</v>
      </c>
    </row>
    <row r="195" spans="3:31" s="185" customFormat="1" x14ac:dyDescent="0.2">
      <c r="C195" s="128">
        <v>186</v>
      </c>
      <c r="D195" s="186">
        <f t="shared" si="50"/>
        <v>46208</v>
      </c>
      <c r="E195" s="128">
        <f t="shared" si="38"/>
        <v>7</v>
      </c>
      <c r="F195" s="187">
        <f t="shared" si="39"/>
        <v>46208</v>
      </c>
      <c r="G195" s="128">
        <f t="shared" si="40"/>
        <v>27</v>
      </c>
      <c r="H195" s="128">
        <f t="shared" si="41"/>
        <v>5</v>
      </c>
      <c r="I195" s="128">
        <f t="shared" si="42"/>
        <v>7</v>
      </c>
      <c r="J195" s="188">
        <f t="shared" si="43"/>
        <v>46208</v>
      </c>
      <c r="K195" s="128" t="str" cm="1">
        <f t="array" ref="K195">IF(AND(I195&lt;7,INDEX(B_tblFTMatrix,$E195,$H195)="x"),"ft","")</f>
        <v/>
      </c>
      <c r="L195" s="128"/>
      <c r="M195" s="128"/>
      <c r="N195" s="128">
        <f t="shared" si="34"/>
        <v>0</v>
      </c>
      <c r="O195" s="128">
        <f t="shared" si="44"/>
        <v>0</v>
      </c>
      <c r="P195" s="227">
        <f t="shared" si="35"/>
        <v>0</v>
      </c>
      <c r="Q195" s="229" cm="1">
        <f t="array" ref="Q195">SUMPRODUCT((H_tblBGTage=I195)*(H_tblBGMnt=E195)*H_tblBG%)</f>
        <v>0</v>
      </c>
      <c r="R195" s="227">
        <f t="shared" si="45"/>
        <v>0</v>
      </c>
      <c r="S195" s="233"/>
      <c r="T195" s="233"/>
      <c r="U195" s="232" cm="1">
        <f t="array" ref="U195">SUMPRODUCT((JUL!M_Verweiszeile=$H195)*JUL!M_ProdTag*(JUL!M_Monat=$E195))</f>
        <v>0</v>
      </c>
      <c r="V195" s="232" cm="1">
        <f t="array" ref="V195">SUMPRODUCT((JUL!M_Verweiszeile=$H195)*JUL!M_ProdN1*(JUL!M_Monat=$E195))</f>
        <v>0</v>
      </c>
      <c r="W195" s="232" cm="1">
        <f t="array" ref="W195">SUMPRODUCT((JUL!M_Verweiszeile=$H195)*JUL!M_ProdN2*(JUL!M_Monat=$E195))</f>
        <v>0</v>
      </c>
      <c r="X195" s="232" cm="1">
        <f t="array" ref="X195">SUMPRODUCT((JUL!M_Verweiszeile=$H195)*JUL!M_Reise*(JUL!M_Monat=$E195))</f>
        <v>0</v>
      </c>
      <c r="Y195" s="232" cm="1">
        <f t="array" ref="Y195">SUMPRODUCT((JUL!M_Verweiszeile=$H195)*JUL!M_Reiseabzug*(JUL!M_Monat=$E195))</f>
        <v>0</v>
      </c>
      <c r="Z195" s="232">
        <f t="shared" si="46"/>
        <v>0</v>
      </c>
      <c r="AA195" s="232">
        <f t="shared" si="36"/>
        <v>0</v>
      </c>
      <c r="AB195" s="232">
        <f t="shared" si="37"/>
        <v>0</v>
      </c>
      <c r="AC195" s="232">
        <f t="shared" si="47"/>
        <v>0</v>
      </c>
      <c r="AD195" s="232">
        <f t="shared" si="48"/>
        <v>0</v>
      </c>
      <c r="AE195" s="232">
        <f t="shared" si="49"/>
        <v>0</v>
      </c>
    </row>
    <row r="196" spans="3:31" s="185" customFormat="1" x14ac:dyDescent="0.2">
      <c r="C196" s="128">
        <v>187</v>
      </c>
      <c r="D196" s="186">
        <f t="shared" si="50"/>
        <v>46209</v>
      </c>
      <c r="E196" s="128">
        <f t="shared" si="38"/>
        <v>7</v>
      </c>
      <c r="F196" s="187">
        <f t="shared" si="39"/>
        <v>46209</v>
      </c>
      <c r="G196" s="128">
        <f t="shared" si="40"/>
        <v>28</v>
      </c>
      <c r="H196" s="128">
        <f t="shared" si="41"/>
        <v>6</v>
      </c>
      <c r="I196" s="128">
        <f t="shared" si="42"/>
        <v>1</v>
      </c>
      <c r="J196" s="188">
        <f t="shared" si="43"/>
        <v>46209</v>
      </c>
      <c r="K196" s="128" t="str" cm="1">
        <f t="array" ref="K196">IF(AND(I196&lt;7,INDEX(B_tblFTMatrix,$E196,$H196)="x"),"ft","")</f>
        <v/>
      </c>
      <c r="L196" s="128"/>
      <c r="M196" s="128"/>
      <c r="N196" s="128">
        <f t="shared" si="34"/>
        <v>1</v>
      </c>
      <c r="O196" s="128">
        <f t="shared" si="44"/>
        <v>1</v>
      </c>
      <c r="P196" s="227">
        <f t="shared" si="35"/>
        <v>8</v>
      </c>
      <c r="Q196" s="229" cm="1">
        <f t="array" ref="Q196">SUMPRODUCT((H_tblBGTage=I196)*(H_tblBGMnt=E196)*H_tblBG%)</f>
        <v>1</v>
      </c>
      <c r="R196" s="227">
        <f t="shared" si="45"/>
        <v>8</v>
      </c>
      <c r="S196" s="233"/>
      <c r="T196" s="233"/>
      <c r="U196" s="232" cm="1">
        <f t="array" ref="U196">SUMPRODUCT((JUL!M_Verweiszeile=$H196)*JUL!M_ProdTag*(JUL!M_Monat=$E196))</f>
        <v>0</v>
      </c>
      <c r="V196" s="232" cm="1">
        <f t="array" ref="V196">SUMPRODUCT((JUL!M_Verweiszeile=$H196)*JUL!M_ProdN1*(JUL!M_Monat=$E196))</f>
        <v>0</v>
      </c>
      <c r="W196" s="232" cm="1">
        <f t="array" ref="W196">SUMPRODUCT((JUL!M_Verweiszeile=$H196)*JUL!M_ProdN2*(JUL!M_Monat=$E196))</f>
        <v>0</v>
      </c>
      <c r="X196" s="232" cm="1">
        <f t="array" ref="X196">SUMPRODUCT((JUL!M_Verweiszeile=$H196)*JUL!M_Reise*(JUL!M_Monat=$E196))</f>
        <v>0</v>
      </c>
      <c r="Y196" s="232" cm="1">
        <f t="array" ref="Y196">SUMPRODUCT((JUL!M_Verweiszeile=$H196)*JUL!M_Reiseabzug*(JUL!M_Monat=$E196))</f>
        <v>0</v>
      </c>
      <c r="Z196" s="232">
        <f t="shared" si="46"/>
        <v>0</v>
      </c>
      <c r="AA196" s="232">
        <f t="shared" si="36"/>
        <v>0</v>
      </c>
      <c r="AB196" s="232">
        <f t="shared" si="37"/>
        <v>0</v>
      </c>
      <c r="AC196" s="232">
        <f t="shared" si="47"/>
        <v>0</v>
      </c>
      <c r="AD196" s="232">
        <f t="shared" si="48"/>
        <v>0</v>
      </c>
      <c r="AE196" s="232">
        <f t="shared" si="49"/>
        <v>0</v>
      </c>
    </row>
    <row r="197" spans="3:31" s="185" customFormat="1" x14ac:dyDescent="0.2">
      <c r="C197" s="128">
        <v>188</v>
      </c>
      <c r="D197" s="186">
        <f t="shared" si="50"/>
        <v>46210</v>
      </c>
      <c r="E197" s="128">
        <f t="shared" si="38"/>
        <v>7</v>
      </c>
      <c r="F197" s="187">
        <f t="shared" si="39"/>
        <v>46210</v>
      </c>
      <c r="G197" s="128">
        <f t="shared" si="40"/>
        <v>28</v>
      </c>
      <c r="H197" s="128">
        <f t="shared" si="41"/>
        <v>7</v>
      </c>
      <c r="I197" s="128">
        <f t="shared" si="42"/>
        <v>2</v>
      </c>
      <c r="J197" s="188">
        <f t="shared" si="43"/>
        <v>46210</v>
      </c>
      <c r="K197" s="128" t="str" cm="1">
        <f t="array" ref="K197">IF(AND(I197&lt;7,INDEX(B_tblFTMatrix,$E197,$H197)="x"),"ft","")</f>
        <v/>
      </c>
      <c r="L197" s="128"/>
      <c r="M197" s="128"/>
      <c r="N197" s="128">
        <f t="shared" si="34"/>
        <v>1</v>
      </c>
      <c r="O197" s="128">
        <f t="shared" si="44"/>
        <v>1</v>
      </c>
      <c r="P197" s="227">
        <f t="shared" si="35"/>
        <v>8</v>
      </c>
      <c r="Q197" s="229" cm="1">
        <f t="array" ref="Q197">SUMPRODUCT((H_tblBGTage=I197)*(H_tblBGMnt=E197)*H_tblBG%)</f>
        <v>1</v>
      </c>
      <c r="R197" s="227">
        <f t="shared" si="45"/>
        <v>8</v>
      </c>
      <c r="S197" s="233"/>
      <c r="T197" s="233"/>
      <c r="U197" s="232" cm="1">
        <f t="array" ref="U197">SUMPRODUCT((JUL!M_Verweiszeile=$H197)*JUL!M_ProdTag*(JUL!M_Monat=$E197))</f>
        <v>0</v>
      </c>
      <c r="V197" s="232" cm="1">
        <f t="array" ref="V197">SUMPRODUCT((JUL!M_Verweiszeile=$H197)*JUL!M_ProdN1*(JUL!M_Monat=$E197))</f>
        <v>0</v>
      </c>
      <c r="W197" s="232" cm="1">
        <f t="array" ref="W197">SUMPRODUCT((JUL!M_Verweiszeile=$H197)*JUL!M_ProdN2*(JUL!M_Monat=$E197))</f>
        <v>0</v>
      </c>
      <c r="X197" s="232" cm="1">
        <f t="array" ref="X197">SUMPRODUCT((JUL!M_Verweiszeile=$H197)*JUL!M_Reise*(JUL!M_Monat=$E197))</f>
        <v>0</v>
      </c>
      <c r="Y197" s="232" cm="1">
        <f t="array" ref="Y197">SUMPRODUCT((JUL!M_Verweiszeile=$H197)*JUL!M_Reiseabzug*(JUL!M_Monat=$E197))</f>
        <v>0</v>
      </c>
      <c r="Z197" s="232">
        <f t="shared" si="46"/>
        <v>0</v>
      </c>
      <c r="AA197" s="232">
        <f t="shared" si="36"/>
        <v>0</v>
      </c>
      <c r="AB197" s="232">
        <f t="shared" si="37"/>
        <v>0</v>
      </c>
      <c r="AC197" s="232">
        <f t="shared" si="47"/>
        <v>0</v>
      </c>
      <c r="AD197" s="232">
        <f t="shared" si="48"/>
        <v>0</v>
      </c>
      <c r="AE197" s="232">
        <f t="shared" si="49"/>
        <v>0</v>
      </c>
    </row>
    <row r="198" spans="3:31" s="185" customFormat="1" x14ac:dyDescent="0.2">
      <c r="C198" s="128">
        <v>189</v>
      </c>
      <c r="D198" s="186">
        <f t="shared" si="50"/>
        <v>46211</v>
      </c>
      <c r="E198" s="128">
        <f t="shared" si="38"/>
        <v>7</v>
      </c>
      <c r="F198" s="187">
        <f t="shared" si="39"/>
        <v>46211</v>
      </c>
      <c r="G198" s="128">
        <f t="shared" si="40"/>
        <v>28</v>
      </c>
      <c r="H198" s="128">
        <f t="shared" si="41"/>
        <v>8</v>
      </c>
      <c r="I198" s="128">
        <f t="shared" si="42"/>
        <v>3</v>
      </c>
      <c r="J198" s="188">
        <f t="shared" si="43"/>
        <v>46211</v>
      </c>
      <c r="K198" s="128" t="str" cm="1">
        <f t="array" ref="K198">IF(AND(I198&lt;7,INDEX(B_tblFTMatrix,$E198,$H198)="x"),"ft","")</f>
        <v/>
      </c>
      <c r="L198" s="128"/>
      <c r="M198" s="128"/>
      <c r="N198" s="128">
        <f t="shared" si="34"/>
        <v>1</v>
      </c>
      <c r="O198" s="128">
        <f t="shared" si="44"/>
        <v>1</v>
      </c>
      <c r="P198" s="227">
        <f t="shared" si="35"/>
        <v>8</v>
      </c>
      <c r="Q198" s="229" cm="1">
        <f t="array" ref="Q198">SUMPRODUCT((H_tblBGTage=I198)*(H_tblBGMnt=E198)*H_tblBG%)</f>
        <v>1</v>
      </c>
      <c r="R198" s="227">
        <f t="shared" si="45"/>
        <v>8</v>
      </c>
      <c r="S198" s="233"/>
      <c r="T198" s="233"/>
      <c r="U198" s="232" cm="1">
        <f t="array" ref="U198">SUMPRODUCT((JUL!M_Verweiszeile=$H198)*JUL!M_ProdTag*(JUL!M_Monat=$E198))</f>
        <v>0</v>
      </c>
      <c r="V198" s="232" cm="1">
        <f t="array" ref="V198">SUMPRODUCT((JUL!M_Verweiszeile=$H198)*JUL!M_ProdN1*(JUL!M_Monat=$E198))</f>
        <v>0</v>
      </c>
      <c r="W198" s="232" cm="1">
        <f t="array" ref="W198">SUMPRODUCT((JUL!M_Verweiszeile=$H198)*JUL!M_ProdN2*(JUL!M_Monat=$E198))</f>
        <v>0</v>
      </c>
      <c r="X198" s="232" cm="1">
        <f t="array" ref="X198">SUMPRODUCT((JUL!M_Verweiszeile=$H198)*JUL!M_Reise*(JUL!M_Monat=$E198))</f>
        <v>0</v>
      </c>
      <c r="Y198" s="232" cm="1">
        <f t="array" ref="Y198">SUMPRODUCT((JUL!M_Verweiszeile=$H198)*JUL!M_Reiseabzug*(JUL!M_Monat=$E198))</f>
        <v>0</v>
      </c>
      <c r="Z198" s="232">
        <f t="shared" si="46"/>
        <v>0</v>
      </c>
      <c r="AA198" s="232">
        <f t="shared" si="36"/>
        <v>0</v>
      </c>
      <c r="AB198" s="232">
        <f t="shared" si="37"/>
        <v>0</v>
      </c>
      <c r="AC198" s="232">
        <f t="shared" si="47"/>
        <v>0</v>
      </c>
      <c r="AD198" s="232">
        <f t="shared" si="48"/>
        <v>0</v>
      </c>
      <c r="AE198" s="232">
        <f t="shared" si="49"/>
        <v>0</v>
      </c>
    </row>
    <row r="199" spans="3:31" s="185" customFormat="1" x14ac:dyDescent="0.2">
      <c r="C199" s="128">
        <v>190</v>
      </c>
      <c r="D199" s="186">
        <f t="shared" si="50"/>
        <v>46212</v>
      </c>
      <c r="E199" s="128">
        <f t="shared" si="38"/>
        <v>7</v>
      </c>
      <c r="F199" s="187">
        <f t="shared" si="39"/>
        <v>46212</v>
      </c>
      <c r="G199" s="128">
        <f t="shared" si="40"/>
        <v>28</v>
      </c>
      <c r="H199" s="128">
        <f t="shared" si="41"/>
        <v>9</v>
      </c>
      <c r="I199" s="128">
        <f t="shared" si="42"/>
        <v>4</v>
      </c>
      <c r="J199" s="188">
        <f t="shared" si="43"/>
        <v>46212</v>
      </c>
      <c r="K199" s="128" t="str" cm="1">
        <f t="array" ref="K199">IF(AND(I199&lt;7,INDEX(B_tblFTMatrix,$E199,$H199)="x"),"ft","")</f>
        <v/>
      </c>
      <c r="L199" s="128"/>
      <c r="M199" s="128"/>
      <c r="N199" s="128">
        <f t="shared" si="34"/>
        <v>1</v>
      </c>
      <c r="O199" s="128">
        <f t="shared" si="44"/>
        <v>1</v>
      </c>
      <c r="P199" s="227">
        <f t="shared" si="35"/>
        <v>8</v>
      </c>
      <c r="Q199" s="229" cm="1">
        <f t="array" ref="Q199">SUMPRODUCT((H_tblBGTage=I199)*(H_tblBGMnt=E199)*H_tblBG%)</f>
        <v>1</v>
      </c>
      <c r="R199" s="227">
        <f t="shared" si="45"/>
        <v>8</v>
      </c>
      <c r="S199" s="233"/>
      <c r="T199" s="233"/>
      <c r="U199" s="232" cm="1">
        <f t="array" ref="U199">SUMPRODUCT((JUL!M_Verweiszeile=$H199)*JUL!M_ProdTag*(JUL!M_Monat=$E199))</f>
        <v>0</v>
      </c>
      <c r="V199" s="232" cm="1">
        <f t="array" ref="V199">SUMPRODUCT((JUL!M_Verweiszeile=$H199)*JUL!M_ProdN1*(JUL!M_Monat=$E199))</f>
        <v>0</v>
      </c>
      <c r="W199" s="232" cm="1">
        <f t="array" ref="W199">SUMPRODUCT((JUL!M_Verweiszeile=$H199)*JUL!M_ProdN2*(JUL!M_Monat=$E199))</f>
        <v>0</v>
      </c>
      <c r="X199" s="232" cm="1">
        <f t="array" ref="X199">SUMPRODUCT((JUL!M_Verweiszeile=$H199)*JUL!M_Reise*(JUL!M_Monat=$E199))</f>
        <v>0</v>
      </c>
      <c r="Y199" s="232" cm="1">
        <f t="array" ref="Y199">SUMPRODUCT((JUL!M_Verweiszeile=$H199)*JUL!M_Reiseabzug*(JUL!M_Monat=$E199))</f>
        <v>0</v>
      </c>
      <c r="Z199" s="232">
        <f t="shared" si="46"/>
        <v>0</v>
      </c>
      <c r="AA199" s="232">
        <f t="shared" si="36"/>
        <v>0</v>
      </c>
      <c r="AB199" s="232">
        <f t="shared" si="37"/>
        <v>0</v>
      </c>
      <c r="AC199" s="232">
        <f t="shared" si="47"/>
        <v>0</v>
      </c>
      <c r="AD199" s="232">
        <f t="shared" si="48"/>
        <v>0</v>
      </c>
      <c r="AE199" s="232">
        <f t="shared" si="49"/>
        <v>0</v>
      </c>
    </row>
    <row r="200" spans="3:31" s="185" customFormat="1" x14ac:dyDescent="0.2">
      <c r="C200" s="128">
        <v>191</v>
      </c>
      <c r="D200" s="186">
        <f t="shared" si="50"/>
        <v>46213</v>
      </c>
      <c r="E200" s="128">
        <f t="shared" si="38"/>
        <v>7</v>
      </c>
      <c r="F200" s="187">
        <f t="shared" si="39"/>
        <v>46213</v>
      </c>
      <c r="G200" s="128">
        <f t="shared" si="40"/>
        <v>28</v>
      </c>
      <c r="H200" s="128">
        <f t="shared" si="41"/>
        <v>10</v>
      </c>
      <c r="I200" s="128">
        <f t="shared" si="42"/>
        <v>5</v>
      </c>
      <c r="J200" s="188">
        <f t="shared" si="43"/>
        <v>46213</v>
      </c>
      <c r="K200" s="128" t="str" cm="1">
        <f t="array" ref="K200">IF(AND(I200&lt;7,INDEX(B_tblFTMatrix,$E200,$H200)="x"),"ft","")</f>
        <v/>
      </c>
      <c r="L200" s="128"/>
      <c r="M200" s="128"/>
      <c r="N200" s="128">
        <f t="shared" si="34"/>
        <v>1</v>
      </c>
      <c r="O200" s="128">
        <f t="shared" si="44"/>
        <v>1</v>
      </c>
      <c r="P200" s="227">
        <f t="shared" si="35"/>
        <v>8</v>
      </c>
      <c r="Q200" s="229" cm="1">
        <f t="array" ref="Q200">SUMPRODUCT((H_tblBGTage=I200)*(H_tblBGMnt=E200)*H_tblBG%)</f>
        <v>1</v>
      </c>
      <c r="R200" s="227">
        <f t="shared" si="45"/>
        <v>8</v>
      </c>
      <c r="S200" s="233"/>
      <c r="T200" s="233"/>
      <c r="U200" s="232" cm="1">
        <f t="array" ref="U200">SUMPRODUCT((JUL!M_Verweiszeile=$H200)*JUL!M_ProdTag*(JUL!M_Monat=$E200))</f>
        <v>0</v>
      </c>
      <c r="V200" s="232" cm="1">
        <f t="array" ref="V200">SUMPRODUCT((JUL!M_Verweiszeile=$H200)*JUL!M_ProdN1*(JUL!M_Monat=$E200))</f>
        <v>0</v>
      </c>
      <c r="W200" s="232" cm="1">
        <f t="array" ref="W200">SUMPRODUCT((JUL!M_Verweiszeile=$H200)*JUL!M_ProdN2*(JUL!M_Monat=$E200))</f>
        <v>0</v>
      </c>
      <c r="X200" s="232" cm="1">
        <f t="array" ref="X200">SUMPRODUCT((JUL!M_Verweiszeile=$H200)*JUL!M_Reise*(JUL!M_Monat=$E200))</f>
        <v>0</v>
      </c>
      <c r="Y200" s="232" cm="1">
        <f t="array" ref="Y200">SUMPRODUCT((JUL!M_Verweiszeile=$H200)*JUL!M_Reiseabzug*(JUL!M_Monat=$E200))</f>
        <v>0</v>
      </c>
      <c r="Z200" s="232">
        <f t="shared" si="46"/>
        <v>0</v>
      </c>
      <c r="AA200" s="232">
        <f t="shared" si="36"/>
        <v>0</v>
      </c>
      <c r="AB200" s="232">
        <f t="shared" si="37"/>
        <v>0</v>
      </c>
      <c r="AC200" s="232">
        <f t="shared" si="47"/>
        <v>0</v>
      </c>
      <c r="AD200" s="232">
        <f t="shared" si="48"/>
        <v>0</v>
      </c>
      <c r="AE200" s="232">
        <f t="shared" si="49"/>
        <v>0</v>
      </c>
    </row>
    <row r="201" spans="3:31" s="185" customFormat="1" x14ac:dyDescent="0.2">
      <c r="C201" s="128">
        <v>192</v>
      </c>
      <c r="D201" s="186">
        <f t="shared" si="50"/>
        <v>46214</v>
      </c>
      <c r="E201" s="128">
        <f t="shared" si="38"/>
        <v>7</v>
      </c>
      <c r="F201" s="187">
        <f t="shared" si="39"/>
        <v>46214</v>
      </c>
      <c r="G201" s="128">
        <f t="shared" si="40"/>
        <v>28</v>
      </c>
      <c r="H201" s="128">
        <f t="shared" si="41"/>
        <v>11</v>
      </c>
      <c r="I201" s="128">
        <f t="shared" si="42"/>
        <v>6</v>
      </c>
      <c r="J201" s="188">
        <f t="shared" si="43"/>
        <v>46214</v>
      </c>
      <c r="K201" s="128" t="str" cm="1">
        <f t="array" ref="K201">IF(AND(I201&lt;7,INDEX(B_tblFTMatrix,$E201,$H201)="x"),"ft","")</f>
        <v/>
      </c>
      <c r="L201" s="128"/>
      <c r="M201" s="128"/>
      <c r="N201" s="128">
        <f t="shared" si="34"/>
        <v>0</v>
      </c>
      <c r="O201" s="128">
        <f t="shared" si="44"/>
        <v>0</v>
      </c>
      <c r="P201" s="227">
        <f t="shared" si="35"/>
        <v>0</v>
      </c>
      <c r="Q201" s="229" cm="1">
        <f t="array" ref="Q201">SUMPRODUCT((H_tblBGTage=I201)*(H_tblBGMnt=E201)*H_tblBG%)</f>
        <v>0</v>
      </c>
      <c r="R201" s="227">
        <f t="shared" si="45"/>
        <v>0</v>
      </c>
      <c r="S201" s="233"/>
      <c r="T201" s="233"/>
      <c r="U201" s="232" cm="1">
        <f t="array" ref="U201">SUMPRODUCT((JUL!M_Verweiszeile=$H201)*JUL!M_ProdTag*(JUL!M_Monat=$E201))</f>
        <v>0</v>
      </c>
      <c r="V201" s="232" cm="1">
        <f t="array" ref="V201">SUMPRODUCT((JUL!M_Verweiszeile=$H201)*JUL!M_ProdN1*(JUL!M_Monat=$E201))</f>
        <v>0</v>
      </c>
      <c r="W201" s="232" cm="1">
        <f t="array" ref="W201">SUMPRODUCT((JUL!M_Verweiszeile=$H201)*JUL!M_ProdN2*(JUL!M_Monat=$E201))</f>
        <v>0</v>
      </c>
      <c r="X201" s="232" cm="1">
        <f t="array" ref="X201">SUMPRODUCT((JUL!M_Verweiszeile=$H201)*JUL!M_Reise*(JUL!M_Monat=$E201))</f>
        <v>0</v>
      </c>
      <c r="Y201" s="232" cm="1">
        <f t="array" ref="Y201">SUMPRODUCT((JUL!M_Verweiszeile=$H201)*JUL!M_Reiseabzug*(JUL!M_Monat=$E201))</f>
        <v>0</v>
      </c>
      <c r="Z201" s="232">
        <f t="shared" si="46"/>
        <v>0</v>
      </c>
      <c r="AA201" s="232">
        <f t="shared" si="36"/>
        <v>0</v>
      </c>
      <c r="AB201" s="232">
        <f t="shared" si="37"/>
        <v>0</v>
      </c>
      <c r="AC201" s="232">
        <f t="shared" si="47"/>
        <v>0</v>
      </c>
      <c r="AD201" s="232">
        <f t="shared" si="48"/>
        <v>0</v>
      </c>
      <c r="AE201" s="232">
        <f t="shared" si="49"/>
        <v>0</v>
      </c>
    </row>
    <row r="202" spans="3:31" s="185" customFormat="1" x14ac:dyDescent="0.2">
      <c r="C202" s="128">
        <v>193</v>
      </c>
      <c r="D202" s="186">
        <f t="shared" si="50"/>
        <v>46215</v>
      </c>
      <c r="E202" s="128">
        <f t="shared" si="38"/>
        <v>7</v>
      </c>
      <c r="F202" s="187">
        <f t="shared" si="39"/>
        <v>46215</v>
      </c>
      <c r="G202" s="128">
        <f t="shared" si="40"/>
        <v>28</v>
      </c>
      <c r="H202" s="128">
        <f t="shared" si="41"/>
        <v>12</v>
      </c>
      <c r="I202" s="128">
        <f t="shared" si="42"/>
        <v>7</v>
      </c>
      <c r="J202" s="188">
        <f t="shared" si="43"/>
        <v>46215</v>
      </c>
      <c r="K202" s="128" t="str" cm="1">
        <f t="array" ref="K202">IF(AND(I202&lt;7,INDEX(B_tblFTMatrix,$E202,$H202)="x"),"ft","")</f>
        <v/>
      </c>
      <c r="L202" s="128"/>
      <c r="M202" s="128"/>
      <c r="N202" s="128">
        <f t="shared" ref="N202:N265" si="51">IF(I202&lt;6,1,0)</f>
        <v>0</v>
      </c>
      <c r="O202" s="128">
        <f t="shared" si="44"/>
        <v>0</v>
      </c>
      <c r="P202" s="227">
        <f t="shared" ref="P202:P265" si="52">IFERROR($E$3*N202,0)</f>
        <v>0</v>
      </c>
      <c r="Q202" s="229" cm="1">
        <f t="array" ref="Q202">SUMPRODUCT((H_tblBGTage=I202)*(H_tblBGMnt=E202)*H_tblBG%)</f>
        <v>0</v>
      </c>
      <c r="R202" s="227">
        <f t="shared" si="45"/>
        <v>0</v>
      </c>
      <c r="S202" s="233"/>
      <c r="T202" s="233"/>
      <c r="U202" s="232" cm="1">
        <f t="array" ref="U202">SUMPRODUCT((JUL!M_Verweiszeile=$H202)*JUL!M_ProdTag*(JUL!M_Monat=$E202))</f>
        <v>0</v>
      </c>
      <c r="V202" s="232" cm="1">
        <f t="array" ref="V202">SUMPRODUCT((JUL!M_Verweiszeile=$H202)*JUL!M_ProdN1*(JUL!M_Monat=$E202))</f>
        <v>0</v>
      </c>
      <c r="W202" s="232" cm="1">
        <f t="array" ref="W202">SUMPRODUCT((JUL!M_Verweiszeile=$H202)*JUL!M_ProdN2*(JUL!M_Monat=$E202))</f>
        <v>0</v>
      </c>
      <c r="X202" s="232" cm="1">
        <f t="array" ref="X202">SUMPRODUCT((JUL!M_Verweiszeile=$H202)*JUL!M_Reise*(JUL!M_Monat=$E202))</f>
        <v>0</v>
      </c>
      <c r="Y202" s="232" cm="1">
        <f t="array" ref="Y202">SUMPRODUCT((JUL!M_Verweiszeile=$H202)*JUL!M_Reiseabzug*(JUL!M_Monat=$E202))</f>
        <v>0</v>
      </c>
      <c r="Z202" s="232">
        <f t="shared" si="46"/>
        <v>0</v>
      </c>
      <c r="AA202" s="232">
        <f t="shared" ref="AA202:AA265" si="53">IFERROR(IF($K202="ft",R202,0),0)</f>
        <v>0</v>
      </c>
      <c r="AB202" s="232">
        <f t="shared" ref="AB202:AB265" si="54">SUM(V202:W202)*A_fldZ2</f>
        <v>0</v>
      </c>
      <c r="AC202" s="232">
        <f t="shared" si="47"/>
        <v>0</v>
      </c>
      <c r="AD202" s="232">
        <f t="shared" si="48"/>
        <v>0</v>
      </c>
      <c r="AE202" s="232">
        <f t="shared" si="49"/>
        <v>0</v>
      </c>
    </row>
    <row r="203" spans="3:31" s="185" customFormat="1" x14ac:dyDescent="0.2">
      <c r="C203" s="128">
        <v>194</v>
      </c>
      <c r="D203" s="186">
        <f t="shared" si="50"/>
        <v>46216</v>
      </c>
      <c r="E203" s="128">
        <f t="shared" ref="E203:E266" si="55">MONTH(D203)</f>
        <v>7</v>
      </c>
      <c r="F203" s="187">
        <f t="shared" ref="F203:F266" si="56">D203</f>
        <v>46216</v>
      </c>
      <c r="G203" s="128">
        <f t="shared" ref="G203:G266" si="57">_xlfn.ISOWEEKNUM(D203)</f>
        <v>29</v>
      </c>
      <c r="H203" s="128">
        <f t="shared" ref="H203:H266" si="58">DAY(D203)</f>
        <v>13</v>
      </c>
      <c r="I203" s="128">
        <f t="shared" ref="I203:I266" si="59">WEEKDAY(D203,2)</f>
        <v>1</v>
      </c>
      <c r="J203" s="188">
        <f t="shared" ref="J203:J266" si="60">D203</f>
        <v>46216</v>
      </c>
      <c r="K203" s="128" t="str" cm="1">
        <f t="array" ref="K203">IF(AND(I203&lt;7,INDEX(B_tblFTMatrix,$E203,$H203)="x"),"ft","")</f>
        <v/>
      </c>
      <c r="L203" s="128"/>
      <c r="M203" s="128"/>
      <c r="N203" s="128">
        <f t="shared" si="51"/>
        <v>1</v>
      </c>
      <c r="O203" s="128">
        <f t="shared" ref="O203:O266" si="61">IF(AND(L203&lt;&gt;"x",N203),1,0)</f>
        <v>1</v>
      </c>
      <c r="P203" s="227">
        <f t="shared" si="52"/>
        <v>8</v>
      </c>
      <c r="Q203" s="229" cm="1">
        <f t="array" ref="Q203">SUMPRODUCT((H_tblBGTage=I203)*(H_tblBGMnt=E203)*H_tblBG%)</f>
        <v>1</v>
      </c>
      <c r="R203" s="227">
        <f t="shared" ref="R203:R266" si="62">IFERROR(P203*Q203,0)</f>
        <v>8</v>
      </c>
      <c r="S203" s="233"/>
      <c r="T203" s="233"/>
      <c r="U203" s="232" cm="1">
        <f t="array" ref="U203">SUMPRODUCT((JUL!M_Verweiszeile=$H203)*JUL!M_ProdTag*(JUL!M_Monat=$E203))</f>
        <v>0</v>
      </c>
      <c r="V203" s="232" cm="1">
        <f t="array" ref="V203">SUMPRODUCT((JUL!M_Verweiszeile=$H203)*JUL!M_ProdN1*(JUL!M_Monat=$E203))</f>
        <v>0</v>
      </c>
      <c r="W203" s="232" cm="1">
        <f t="array" ref="W203">SUMPRODUCT((JUL!M_Verweiszeile=$H203)*JUL!M_ProdN2*(JUL!M_Monat=$E203))</f>
        <v>0</v>
      </c>
      <c r="X203" s="232" cm="1">
        <f t="array" ref="X203">SUMPRODUCT((JUL!M_Verweiszeile=$H203)*JUL!M_Reise*(JUL!M_Monat=$E203))</f>
        <v>0</v>
      </c>
      <c r="Y203" s="232" cm="1">
        <f t="array" ref="Y203">SUMPRODUCT((JUL!M_Verweiszeile=$H203)*JUL!M_Reiseabzug*(JUL!M_Monat=$E203))</f>
        <v>0</v>
      </c>
      <c r="Z203" s="232">
        <f t="shared" ref="Z203:Z266" si="63">SUM(U203:X203)-Y203</f>
        <v>0</v>
      </c>
      <c r="AA203" s="232">
        <f t="shared" si="53"/>
        <v>0</v>
      </c>
      <c r="AB203" s="232">
        <f t="shared" si="54"/>
        <v>0</v>
      </c>
      <c r="AC203" s="232">
        <f t="shared" ref="AC203:AC266" si="64">IF(OR(I203=7,K203="ft"),U203,0)</f>
        <v>0</v>
      </c>
      <c r="AD203" s="232">
        <f t="shared" ref="AD203:AD266" si="65">SUM(AA203:AC203)</f>
        <v>0</v>
      </c>
      <c r="AE203" s="232">
        <f t="shared" ref="AE203:AE266" si="66">Z203+AD203</f>
        <v>0</v>
      </c>
    </row>
    <row r="204" spans="3:31" s="185" customFormat="1" x14ac:dyDescent="0.2">
      <c r="C204" s="128">
        <v>195</v>
      </c>
      <c r="D204" s="186">
        <f t="shared" ref="D204:D267" si="67">D203+1</f>
        <v>46217</v>
      </c>
      <c r="E204" s="128">
        <f t="shared" si="55"/>
        <v>7</v>
      </c>
      <c r="F204" s="187">
        <f t="shared" si="56"/>
        <v>46217</v>
      </c>
      <c r="G204" s="128">
        <f t="shared" si="57"/>
        <v>29</v>
      </c>
      <c r="H204" s="128">
        <f t="shared" si="58"/>
        <v>14</v>
      </c>
      <c r="I204" s="128">
        <f t="shared" si="59"/>
        <v>2</v>
      </c>
      <c r="J204" s="188">
        <f t="shared" si="60"/>
        <v>46217</v>
      </c>
      <c r="K204" s="128" t="str" cm="1">
        <f t="array" ref="K204">IF(AND(I204&lt;7,INDEX(B_tblFTMatrix,$E204,$H204)="x"),"ft","")</f>
        <v/>
      </c>
      <c r="L204" s="128"/>
      <c r="M204" s="128"/>
      <c r="N204" s="128">
        <f t="shared" si="51"/>
        <v>1</v>
      </c>
      <c r="O204" s="128">
        <f t="shared" si="61"/>
        <v>1</v>
      </c>
      <c r="P204" s="227">
        <f t="shared" si="52"/>
        <v>8</v>
      </c>
      <c r="Q204" s="229" cm="1">
        <f t="array" ref="Q204">SUMPRODUCT((H_tblBGTage=I204)*(H_tblBGMnt=E204)*H_tblBG%)</f>
        <v>1</v>
      </c>
      <c r="R204" s="227">
        <f t="shared" si="62"/>
        <v>8</v>
      </c>
      <c r="S204" s="233"/>
      <c r="T204" s="233"/>
      <c r="U204" s="232" cm="1">
        <f t="array" ref="U204">SUMPRODUCT((JUL!M_Verweiszeile=$H204)*JUL!M_ProdTag*(JUL!M_Monat=$E204))</f>
        <v>0</v>
      </c>
      <c r="V204" s="232" cm="1">
        <f t="array" ref="V204">SUMPRODUCT((JUL!M_Verweiszeile=$H204)*JUL!M_ProdN1*(JUL!M_Monat=$E204))</f>
        <v>0</v>
      </c>
      <c r="W204" s="232" cm="1">
        <f t="array" ref="W204">SUMPRODUCT((JUL!M_Verweiszeile=$H204)*JUL!M_ProdN2*(JUL!M_Monat=$E204))</f>
        <v>0</v>
      </c>
      <c r="X204" s="232" cm="1">
        <f t="array" ref="X204">SUMPRODUCT((JUL!M_Verweiszeile=$H204)*JUL!M_Reise*(JUL!M_Monat=$E204))</f>
        <v>0</v>
      </c>
      <c r="Y204" s="232" cm="1">
        <f t="array" ref="Y204">SUMPRODUCT((JUL!M_Verweiszeile=$H204)*JUL!M_Reiseabzug*(JUL!M_Monat=$E204))</f>
        <v>0</v>
      </c>
      <c r="Z204" s="232">
        <f t="shared" si="63"/>
        <v>0</v>
      </c>
      <c r="AA204" s="232">
        <f t="shared" si="53"/>
        <v>0</v>
      </c>
      <c r="AB204" s="232">
        <f t="shared" si="54"/>
        <v>0</v>
      </c>
      <c r="AC204" s="232">
        <f t="shared" si="64"/>
        <v>0</v>
      </c>
      <c r="AD204" s="232">
        <f t="shared" si="65"/>
        <v>0</v>
      </c>
      <c r="AE204" s="232">
        <f t="shared" si="66"/>
        <v>0</v>
      </c>
    </row>
    <row r="205" spans="3:31" s="185" customFormat="1" x14ac:dyDescent="0.2">
      <c r="C205" s="128">
        <v>196</v>
      </c>
      <c r="D205" s="186">
        <f t="shared" si="67"/>
        <v>46218</v>
      </c>
      <c r="E205" s="128">
        <f t="shared" si="55"/>
        <v>7</v>
      </c>
      <c r="F205" s="187">
        <f t="shared" si="56"/>
        <v>46218</v>
      </c>
      <c r="G205" s="128">
        <f t="shared" si="57"/>
        <v>29</v>
      </c>
      <c r="H205" s="128">
        <f t="shared" si="58"/>
        <v>15</v>
      </c>
      <c r="I205" s="128">
        <f t="shared" si="59"/>
        <v>3</v>
      </c>
      <c r="J205" s="188">
        <f t="shared" si="60"/>
        <v>46218</v>
      </c>
      <c r="K205" s="128" t="str" cm="1">
        <f t="array" ref="K205">IF(AND(I205&lt;7,INDEX(B_tblFTMatrix,$E205,$H205)="x"),"ft","")</f>
        <v/>
      </c>
      <c r="L205" s="128"/>
      <c r="M205" s="128"/>
      <c r="N205" s="128">
        <f t="shared" si="51"/>
        <v>1</v>
      </c>
      <c r="O205" s="128">
        <f t="shared" si="61"/>
        <v>1</v>
      </c>
      <c r="P205" s="227">
        <f t="shared" si="52"/>
        <v>8</v>
      </c>
      <c r="Q205" s="229" cm="1">
        <f t="array" ref="Q205">SUMPRODUCT((H_tblBGTage=I205)*(H_tblBGMnt=E205)*H_tblBG%)</f>
        <v>1</v>
      </c>
      <c r="R205" s="227">
        <f t="shared" si="62"/>
        <v>8</v>
      </c>
      <c r="S205" s="233"/>
      <c r="T205" s="233"/>
      <c r="U205" s="232" cm="1">
        <f t="array" ref="U205">SUMPRODUCT((JUL!M_Verweiszeile=$H205)*JUL!M_ProdTag*(JUL!M_Monat=$E205))</f>
        <v>0</v>
      </c>
      <c r="V205" s="232" cm="1">
        <f t="array" ref="V205">SUMPRODUCT((JUL!M_Verweiszeile=$H205)*JUL!M_ProdN1*(JUL!M_Monat=$E205))</f>
        <v>0</v>
      </c>
      <c r="W205" s="232" cm="1">
        <f t="array" ref="W205">SUMPRODUCT((JUL!M_Verweiszeile=$H205)*JUL!M_ProdN2*(JUL!M_Monat=$E205))</f>
        <v>0</v>
      </c>
      <c r="X205" s="232" cm="1">
        <f t="array" ref="X205">SUMPRODUCT((JUL!M_Verweiszeile=$H205)*JUL!M_Reise*(JUL!M_Monat=$E205))</f>
        <v>0</v>
      </c>
      <c r="Y205" s="232" cm="1">
        <f t="array" ref="Y205">SUMPRODUCT((JUL!M_Verweiszeile=$H205)*JUL!M_Reiseabzug*(JUL!M_Monat=$E205))</f>
        <v>0</v>
      </c>
      <c r="Z205" s="232">
        <f t="shared" si="63"/>
        <v>0</v>
      </c>
      <c r="AA205" s="232">
        <f t="shared" si="53"/>
        <v>0</v>
      </c>
      <c r="AB205" s="232">
        <f t="shared" si="54"/>
        <v>0</v>
      </c>
      <c r="AC205" s="232">
        <f t="shared" si="64"/>
        <v>0</v>
      </c>
      <c r="AD205" s="232">
        <f t="shared" si="65"/>
        <v>0</v>
      </c>
      <c r="AE205" s="232">
        <f t="shared" si="66"/>
        <v>0</v>
      </c>
    </row>
    <row r="206" spans="3:31" s="185" customFormat="1" x14ac:dyDescent="0.2">
      <c r="C206" s="128">
        <v>197</v>
      </c>
      <c r="D206" s="186">
        <f t="shared" si="67"/>
        <v>46219</v>
      </c>
      <c r="E206" s="128">
        <f t="shared" si="55"/>
        <v>7</v>
      </c>
      <c r="F206" s="187">
        <f t="shared" si="56"/>
        <v>46219</v>
      </c>
      <c r="G206" s="128">
        <f t="shared" si="57"/>
        <v>29</v>
      </c>
      <c r="H206" s="128">
        <f t="shared" si="58"/>
        <v>16</v>
      </c>
      <c r="I206" s="128">
        <f t="shared" si="59"/>
        <v>4</v>
      </c>
      <c r="J206" s="188">
        <f t="shared" si="60"/>
        <v>46219</v>
      </c>
      <c r="K206" s="128" t="str" cm="1">
        <f t="array" ref="K206">IF(AND(I206&lt;7,INDEX(B_tblFTMatrix,$E206,$H206)="x"),"ft","")</f>
        <v/>
      </c>
      <c r="L206" s="128"/>
      <c r="M206" s="128"/>
      <c r="N206" s="128">
        <f t="shared" si="51"/>
        <v>1</v>
      </c>
      <c r="O206" s="128">
        <f t="shared" si="61"/>
        <v>1</v>
      </c>
      <c r="P206" s="227">
        <f t="shared" si="52"/>
        <v>8</v>
      </c>
      <c r="Q206" s="229" cm="1">
        <f t="array" ref="Q206">SUMPRODUCT((H_tblBGTage=I206)*(H_tblBGMnt=E206)*H_tblBG%)</f>
        <v>1</v>
      </c>
      <c r="R206" s="227">
        <f t="shared" si="62"/>
        <v>8</v>
      </c>
      <c r="S206" s="233"/>
      <c r="T206" s="233"/>
      <c r="U206" s="232" cm="1">
        <f t="array" ref="U206">SUMPRODUCT((JUL!M_Verweiszeile=$H206)*JUL!M_ProdTag*(JUL!M_Monat=$E206))</f>
        <v>0</v>
      </c>
      <c r="V206" s="232" cm="1">
        <f t="array" ref="V206">SUMPRODUCT((JUL!M_Verweiszeile=$H206)*JUL!M_ProdN1*(JUL!M_Monat=$E206))</f>
        <v>0</v>
      </c>
      <c r="W206" s="232" cm="1">
        <f t="array" ref="W206">SUMPRODUCT((JUL!M_Verweiszeile=$H206)*JUL!M_ProdN2*(JUL!M_Monat=$E206))</f>
        <v>0</v>
      </c>
      <c r="X206" s="232" cm="1">
        <f t="array" ref="X206">SUMPRODUCT((JUL!M_Verweiszeile=$H206)*JUL!M_Reise*(JUL!M_Monat=$E206))</f>
        <v>0</v>
      </c>
      <c r="Y206" s="232" cm="1">
        <f t="array" ref="Y206">SUMPRODUCT((JUL!M_Verweiszeile=$H206)*JUL!M_Reiseabzug*(JUL!M_Monat=$E206))</f>
        <v>0</v>
      </c>
      <c r="Z206" s="232">
        <f t="shared" si="63"/>
        <v>0</v>
      </c>
      <c r="AA206" s="232">
        <f t="shared" si="53"/>
        <v>0</v>
      </c>
      <c r="AB206" s="232">
        <f t="shared" si="54"/>
        <v>0</v>
      </c>
      <c r="AC206" s="232">
        <f t="shared" si="64"/>
        <v>0</v>
      </c>
      <c r="AD206" s="232">
        <f t="shared" si="65"/>
        <v>0</v>
      </c>
      <c r="AE206" s="232">
        <f t="shared" si="66"/>
        <v>0</v>
      </c>
    </row>
    <row r="207" spans="3:31" s="185" customFormat="1" x14ac:dyDescent="0.2">
      <c r="C207" s="128">
        <v>198</v>
      </c>
      <c r="D207" s="186">
        <f t="shared" si="67"/>
        <v>46220</v>
      </c>
      <c r="E207" s="128">
        <f t="shared" si="55"/>
        <v>7</v>
      </c>
      <c r="F207" s="187">
        <f t="shared" si="56"/>
        <v>46220</v>
      </c>
      <c r="G207" s="128">
        <f t="shared" si="57"/>
        <v>29</v>
      </c>
      <c r="H207" s="128">
        <f t="shared" si="58"/>
        <v>17</v>
      </c>
      <c r="I207" s="128">
        <f t="shared" si="59"/>
        <v>5</v>
      </c>
      <c r="J207" s="188">
        <f t="shared" si="60"/>
        <v>46220</v>
      </c>
      <c r="K207" s="128" t="str" cm="1">
        <f t="array" ref="K207">IF(AND(I207&lt;7,INDEX(B_tblFTMatrix,$E207,$H207)="x"),"ft","")</f>
        <v/>
      </c>
      <c r="L207" s="128"/>
      <c r="M207" s="128"/>
      <c r="N207" s="128">
        <f t="shared" si="51"/>
        <v>1</v>
      </c>
      <c r="O207" s="128">
        <f t="shared" si="61"/>
        <v>1</v>
      </c>
      <c r="P207" s="227">
        <f t="shared" si="52"/>
        <v>8</v>
      </c>
      <c r="Q207" s="229" cm="1">
        <f t="array" ref="Q207">SUMPRODUCT((H_tblBGTage=I207)*(H_tblBGMnt=E207)*H_tblBG%)</f>
        <v>1</v>
      </c>
      <c r="R207" s="227">
        <f t="shared" si="62"/>
        <v>8</v>
      </c>
      <c r="S207" s="233"/>
      <c r="T207" s="233"/>
      <c r="U207" s="232" cm="1">
        <f t="array" ref="U207">SUMPRODUCT((JUL!M_Verweiszeile=$H207)*JUL!M_ProdTag*(JUL!M_Monat=$E207))</f>
        <v>0</v>
      </c>
      <c r="V207" s="232" cm="1">
        <f t="array" ref="V207">SUMPRODUCT((JUL!M_Verweiszeile=$H207)*JUL!M_ProdN1*(JUL!M_Monat=$E207))</f>
        <v>0</v>
      </c>
      <c r="W207" s="232" cm="1">
        <f t="array" ref="W207">SUMPRODUCT((JUL!M_Verweiszeile=$H207)*JUL!M_ProdN2*(JUL!M_Monat=$E207))</f>
        <v>0</v>
      </c>
      <c r="X207" s="232" cm="1">
        <f t="array" ref="X207">SUMPRODUCT((JUL!M_Verweiszeile=$H207)*JUL!M_Reise*(JUL!M_Monat=$E207))</f>
        <v>0</v>
      </c>
      <c r="Y207" s="232" cm="1">
        <f t="array" ref="Y207">SUMPRODUCT((JUL!M_Verweiszeile=$H207)*JUL!M_Reiseabzug*(JUL!M_Monat=$E207))</f>
        <v>0</v>
      </c>
      <c r="Z207" s="232">
        <f t="shared" si="63"/>
        <v>0</v>
      </c>
      <c r="AA207" s="232">
        <f t="shared" si="53"/>
        <v>0</v>
      </c>
      <c r="AB207" s="232">
        <f t="shared" si="54"/>
        <v>0</v>
      </c>
      <c r="AC207" s="232">
        <f t="shared" si="64"/>
        <v>0</v>
      </c>
      <c r="AD207" s="232">
        <f t="shared" si="65"/>
        <v>0</v>
      </c>
      <c r="AE207" s="232">
        <f t="shared" si="66"/>
        <v>0</v>
      </c>
    </row>
    <row r="208" spans="3:31" s="185" customFormat="1" x14ac:dyDescent="0.2">
      <c r="C208" s="128">
        <v>199</v>
      </c>
      <c r="D208" s="186">
        <f t="shared" si="67"/>
        <v>46221</v>
      </c>
      <c r="E208" s="128">
        <f t="shared" si="55"/>
        <v>7</v>
      </c>
      <c r="F208" s="187">
        <f t="shared" si="56"/>
        <v>46221</v>
      </c>
      <c r="G208" s="128">
        <f t="shared" si="57"/>
        <v>29</v>
      </c>
      <c r="H208" s="128">
        <f t="shared" si="58"/>
        <v>18</v>
      </c>
      <c r="I208" s="128">
        <f t="shared" si="59"/>
        <v>6</v>
      </c>
      <c r="J208" s="188">
        <f t="shared" si="60"/>
        <v>46221</v>
      </c>
      <c r="K208" s="128" t="str" cm="1">
        <f t="array" ref="K208">IF(AND(I208&lt;7,INDEX(B_tblFTMatrix,$E208,$H208)="x"),"ft","")</f>
        <v/>
      </c>
      <c r="L208" s="128"/>
      <c r="M208" s="128"/>
      <c r="N208" s="128">
        <f t="shared" si="51"/>
        <v>0</v>
      </c>
      <c r="O208" s="128">
        <f t="shared" si="61"/>
        <v>0</v>
      </c>
      <c r="P208" s="227">
        <f t="shared" si="52"/>
        <v>0</v>
      </c>
      <c r="Q208" s="229" cm="1">
        <f t="array" ref="Q208">SUMPRODUCT((H_tblBGTage=I208)*(H_tblBGMnt=E208)*H_tblBG%)</f>
        <v>0</v>
      </c>
      <c r="R208" s="227">
        <f t="shared" si="62"/>
        <v>0</v>
      </c>
      <c r="S208" s="233"/>
      <c r="T208" s="233"/>
      <c r="U208" s="232" cm="1">
        <f t="array" ref="U208">SUMPRODUCT((JUL!M_Verweiszeile=$H208)*JUL!M_ProdTag*(JUL!M_Monat=$E208))</f>
        <v>0</v>
      </c>
      <c r="V208" s="232" cm="1">
        <f t="array" ref="V208">SUMPRODUCT((JUL!M_Verweiszeile=$H208)*JUL!M_ProdN1*(JUL!M_Monat=$E208))</f>
        <v>0</v>
      </c>
      <c r="W208" s="232" cm="1">
        <f t="array" ref="W208">SUMPRODUCT((JUL!M_Verweiszeile=$H208)*JUL!M_ProdN2*(JUL!M_Monat=$E208))</f>
        <v>0</v>
      </c>
      <c r="X208" s="232" cm="1">
        <f t="array" ref="X208">SUMPRODUCT((JUL!M_Verweiszeile=$H208)*JUL!M_Reise*(JUL!M_Monat=$E208))</f>
        <v>0</v>
      </c>
      <c r="Y208" s="232" cm="1">
        <f t="array" ref="Y208">SUMPRODUCT((JUL!M_Verweiszeile=$H208)*JUL!M_Reiseabzug*(JUL!M_Monat=$E208))</f>
        <v>0</v>
      </c>
      <c r="Z208" s="232">
        <f t="shared" si="63"/>
        <v>0</v>
      </c>
      <c r="AA208" s="232">
        <f t="shared" si="53"/>
        <v>0</v>
      </c>
      <c r="AB208" s="232">
        <f t="shared" si="54"/>
        <v>0</v>
      </c>
      <c r="AC208" s="232">
        <f t="shared" si="64"/>
        <v>0</v>
      </c>
      <c r="AD208" s="232">
        <f t="shared" si="65"/>
        <v>0</v>
      </c>
      <c r="AE208" s="232">
        <f t="shared" si="66"/>
        <v>0</v>
      </c>
    </row>
    <row r="209" spans="3:31" s="185" customFormat="1" x14ac:dyDescent="0.2">
      <c r="C209" s="128">
        <v>200</v>
      </c>
      <c r="D209" s="186">
        <f t="shared" si="67"/>
        <v>46222</v>
      </c>
      <c r="E209" s="128">
        <f t="shared" si="55"/>
        <v>7</v>
      </c>
      <c r="F209" s="187">
        <f t="shared" si="56"/>
        <v>46222</v>
      </c>
      <c r="G209" s="128">
        <f t="shared" si="57"/>
        <v>29</v>
      </c>
      <c r="H209" s="128">
        <f t="shared" si="58"/>
        <v>19</v>
      </c>
      <c r="I209" s="128">
        <f t="shared" si="59"/>
        <v>7</v>
      </c>
      <c r="J209" s="188">
        <f t="shared" si="60"/>
        <v>46222</v>
      </c>
      <c r="K209" s="128" t="str" cm="1">
        <f t="array" ref="K209">IF(AND(I209&lt;7,INDEX(B_tblFTMatrix,$E209,$H209)="x"),"ft","")</f>
        <v/>
      </c>
      <c r="L209" s="128"/>
      <c r="M209" s="128"/>
      <c r="N209" s="128">
        <f t="shared" si="51"/>
        <v>0</v>
      </c>
      <c r="O209" s="128">
        <f t="shared" si="61"/>
        <v>0</v>
      </c>
      <c r="P209" s="227">
        <f t="shared" si="52"/>
        <v>0</v>
      </c>
      <c r="Q209" s="229" cm="1">
        <f t="array" ref="Q209">SUMPRODUCT((H_tblBGTage=I209)*(H_tblBGMnt=E209)*H_tblBG%)</f>
        <v>0</v>
      </c>
      <c r="R209" s="227">
        <f t="shared" si="62"/>
        <v>0</v>
      </c>
      <c r="S209" s="233"/>
      <c r="T209" s="233"/>
      <c r="U209" s="232" cm="1">
        <f t="array" ref="U209">SUMPRODUCT((JUL!M_Verweiszeile=$H209)*JUL!M_ProdTag*(JUL!M_Monat=$E209))</f>
        <v>0</v>
      </c>
      <c r="V209" s="232" cm="1">
        <f t="array" ref="V209">SUMPRODUCT((JUL!M_Verweiszeile=$H209)*JUL!M_ProdN1*(JUL!M_Monat=$E209))</f>
        <v>0</v>
      </c>
      <c r="W209" s="232" cm="1">
        <f t="array" ref="W209">SUMPRODUCT((JUL!M_Verweiszeile=$H209)*JUL!M_ProdN2*(JUL!M_Monat=$E209))</f>
        <v>0</v>
      </c>
      <c r="X209" s="232" cm="1">
        <f t="array" ref="X209">SUMPRODUCT((JUL!M_Verweiszeile=$H209)*JUL!M_Reise*(JUL!M_Monat=$E209))</f>
        <v>0</v>
      </c>
      <c r="Y209" s="232" cm="1">
        <f t="array" ref="Y209">SUMPRODUCT((JUL!M_Verweiszeile=$H209)*JUL!M_Reiseabzug*(JUL!M_Monat=$E209))</f>
        <v>0</v>
      </c>
      <c r="Z209" s="232">
        <f t="shared" si="63"/>
        <v>0</v>
      </c>
      <c r="AA209" s="232">
        <f t="shared" si="53"/>
        <v>0</v>
      </c>
      <c r="AB209" s="232">
        <f t="shared" si="54"/>
        <v>0</v>
      </c>
      <c r="AC209" s="232">
        <f t="shared" si="64"/>
        <v>0</v>
      </c>
      <c r="AD209" s="232">
        <f t="shared" si="65"/>
        <v>0</v>
      </c>
      <c r="AE209" s="232">
        <f t="shared" si="66"/>
        <v>0</v>
      </c>
    </row>
    <row r="210" spans="3:31" s="185" customFormat="1" x14ac:dyDescent="0.2">
      <c r="C210" s="128">
        <v>201</v>
      </c>
      <c r="D210" s="186">
        <f t="shared" si="67"/>
        <v>46223</v>
      </c>
      <c r="E210" s="128">
        <f t="shared" si="55"/>
        <v>7</v>
      </c>
      <c r="F210" s="187">
        <f t="shared" si="56"/>
        <v>46223</v>
      </c>
      <c r="G210" s="128">
        <f t="shared" si="57"/>
        <v>30</v>
      </c>
      <c r="H210" s="128">
        <f t="shared" si="58"/>
        <v>20</v>
      </c>
      <c r="I210" s="128">
        <f t="shared" si="59"/>
        <v>1</v>
      </c>
      <c r="J210" s="188">
        <f t="shared" si="60"/>
        <v>46223</v>
      </c>
      <c r="K210" s="128" t="str" cm="1">
        <f t="array" ref="K210">IF(AND(I210&lt;7,INDEX(B_tblFTMatrix,$E210,$H210)="x"),"ft","")</f>
        <v/>
      </c>
      <c r="L210" s="128"/>
      <c r="M210" s="128"/>
      <c r="N210" s="128">
        <f t="shared" si="51"/>
        <v>1</v>
      </c>
      <c r="O210" s="128">
        <f t="shared" si="61"/>
        <v>1</v>
      </c>
      <c r="P210" s="227">
        <f t="shared" si="52"/>
        <v>8</v>
      </c>
      <c r="Q210" s="229" cm="1">
        <f t="array" ref="Q210">SUMPRODUCT((H_tblBGTage=I210)*(H_tblBGMnt=E210)*H_tblBG%)</f>
        <v>1</v>
      </c>
      <c r="R210" s="227">
        <f t="shared" si="62"/>
        <v>8</v>
      </c>
      <c r="S210" s="233"/>
      <c r="T210" s="233"/>
      <c r="U210" s="232" cm="1">
        <f t="array" ref="U210">SUMPRODUCT((JUL!M_Verweiszeile=$H210)*JUL!M_ProdTag*(JUL!M_Monat=$E210))</f>
        <v>0</v>
      </c>
      <c r="V210" s="232" cm="1">
        <f t="array" ref="V210">SUMPRODUCT((JUL!M_Verweiszeile=$H210)*JUL!M_ProdN1*(JUL!M_Monat=$E210))</f>
        <v>0</v>
      </c>
      <c r="W210" s="232" cm="1">
        <f t="array" ref="W210">SUMPRODUCT((JUL!M_Verweiszeile=$H210)*JUL!M_ProdN2*(JUL!M_Monat=$E210))</f>
        <v>0</v>
      </c>
      <c r="X210" s="232" cm="1">
        <f t="array" ref="X210">SUMPRODUCT((JUL!M_Verweiszeile=$H210)*JUL!M_Reise*(JUL!M_Monat=$E210))</f>
        <v>0</v>
      </c>
      <c r="Y210" s="232" cm="1">
        <f t="array" ref="Y210">SUMPRODUCT((JUL!M_Verweiszeile=$H210)*JUL!M_Reiseabzug*(JUL!M_Monat=$E210))</f>
        <v>0</v>
      </c>
      <c r="Z210" s="232">
        <f t="shared" si="63"/>
        <v>0</v>
      </c>
      <c r="AA210" s="232">
        <f t="shared" si="53"/>
        <v>0</v>
      </c>
      <c r="AB210" s="232">
        <f t="shared" si="54"/>
        <v>0</v>
      </c>
      <c r="AC210" s="232">
        <f t="shared" si="64"/>
        <v>0</v>
      </c>
      <c r="AD210" s="232">
        <f t="shared" si="65"/>
        <v>0</v>
      </c>
      <c r="AE210" s="232">
        <f t="shared" si="66"/>
        <v>0</v>
      </c>
    </row>
    <row r="211" spans="3:31" s="185" customFormat="1" x14ac:dyDescent="0.2">
      <c r="C211" s="128">
        <v>202</v>
      </c>
      <c r="D211" s="186">
        <f t="shared" si="67"/>
        <v>46224</v>
      </c>
      <c r="E211" s="128">
        <f t="shared" si="55"/>
        <v>7</v>
      </c>
      <c r="F211" s="187">
        <f t="shared" si="56"/>
        <v>46224</v>
      </c>
      <c r="G211" s="128">
        <f t="shared" si="57"/>
        <v>30</v>
      </c>
      <c r="H211" s="128">
        <f t="shared" si="58"/>
        <v>21</v>
      </c>
      <c r="I211" s="128">
        <f t="shared" si="59"/>
        <v>2</v>
      </c>
      <c r="J211" s="188">
        <f t="shared" si="60"/>
        <v>46224</v>
      </c>
      <c r="K211" s="128" t="str" cm="1">
        <f t="array" ref="K211">IF(AND(I211&lt;7,INDEX(B_tblFTMatrix,$E211,$H211)="x"),"ft","")</f>
        <v/>
      </c>
      <c r="L211" s="128"/>
      <c r="M211" s="128"/>
      <c r="N211" s="128">
        <f t="shared" si="51"/>
        <v>1</v>
      </c>
      <c r="O211" s="128">
        <f t="shared" si="61"/>
        <v>1</v>
      </c>
      <c r="P211" s="227">
        <f t="shared" si="52"/>
        <v>8</v>
      </c>
      <c r="Q211" s="229" cm="1">
        <f t="array" ref="Q211">SUMPRODUCT((H_tblBGTage=I211)*(H_tblBGMnt=E211)*H_tblBG%)</f>
        <v>1</v>
      </c>
      <c r="R211" s="227">
        <f t="shared" si="62"/>
        <v>8</v>
      </c>
      <c r="S211" s="233"/>
      <c r="T211" s="233"/>
      <c r="U211" s="232" cm="1">
        <f t="array" ref="U211">SUMPRODUCT((JUL!M_Verweiszeile=$H211)*JUL!M_ProdTag*(JUL!M_Monat=$E211))</f>
        <v>0</v>
      </c>
      <c r="V211" s="232" cm="1">
        <f t="array" ref="V211">SUMPRODUCT((JUL!M_Verweiszeile=$H211)*JUL!M_ProdN1*(JUL!M_Monat=$E211))</f>
        <v>0</v>
      </c>
      <c r="W211" s="232" cm="1">
        <f t="array" ref="W211">SUMPRODUCT((JUL!M_Verweiszeile=$H211)*JUL!M_ProdN2*(JUL!M_Monat=$E211))</f>
        <v>0</v>
      </c>
      <c r="X211" s="232" cm="1">
        <f t="array" ref="X211">SUMPRODUCT((JUL!M_Verweiszeile=$H211)*JUL!M_Reise*(JUL!M_Monat=$E211))</f>
        <v>0</v>
      </c>
      <c r="Y211" s="232" cm="1">
        <f t="array" ref="Y211">SUMPRODUCT((JUL!M_Verweiszeile=$H211)*JUL!M_Reiseabzug*(JUL!M_Monat=$E211))</f>
        <v>0</v>
      </c>
      <c r="Z211" s="232">
        <f t="shared" si="63"/>
        <v>0</v>
      </c>
      <c r="AA211" s="232">
        <f t="shared" si="53"/>
        <v>0</v>
      </c>
      <c r="AB211" s="232">
        <f t="shared" si="54"/>
        <v>0</v>
      </c>
      <c r="AC211" s="232">
        <f t="shared" si="64"/>
        <v>0</v>
      </c>
      <c r="AD211" s="232">
        <f t="shared" si="65"/>
        <v>0</v>
      </c>
      <c r="AE211" s="232">
        <f t="shared" si="66"/>
        <v>0</v>
      </c>
    </row>
    <row r="212" spans="3:31" s="185" customFormat="1" x14ac:dyDescent="0.2">
      <c r="C212" s="128">
        <v>203</v>
      </c>
      <c r="D212" s="186">
        <f t="shared" si="67"/>
        <v>46225</v>
      </c>
      <c r="E212" s="128">
        <f t="shared" si="55"/>
        <v>7</v>
      </c>
      <c r="F212" s="187">
        <f t="shared" si="56"/>
        <v>46225</v>
      </c>
      <c r="G212" s="128">
        <f t="shared" si="57"/>
        <v>30</v>
      </c>
      <c r="H212" s="128">
        <f t="shared" si="58"/>
        <v>22</v>
      </c>
      <c r="I212" s="128">
        <f t="shared" si="59"/>
        <v>3</v>
      </c>
      <c r="J212" s="188">
        <f t="shared" si="60"/>
        <v>46225</v>
      </c>
      <c r="K212" s="128" t="str" cm="1">
        <f t="array" ref="K212">IF(AND(I212&lt;7,INDEX(B_tblFTMatrix,$E212,$H212)="x"),"ft","")</f>
        <v/>
      </c>
      <c r="L212" s="128"/>
      <c r="M212" s="128"/>
      <c r="N212" s="128">
        <f t="shared" si="51"/>
        <v>1</v>
      </c>
      <c r="O212" s="128">
        <f t="shared" si="61"/>
        <v>1</v>
      </c>
      <c r="P212" s="227">
        <f t="shared" si="52"/>
        <v>8</v>
      </c>
      <c r="Q212" s="229" cm="1">
        <f t="array" ref="Q212">SUMPRODUCT((H_tblBGTage=I212)*(H_tblBGMnt=E212)*H_tblBG%)</f>
        <v>1</v>
      </c>
      <c r="R212" s="227">
        <f t="shared" si="62"/>
        <v>8</v>
      </c>
      <c r="S212" s="233"/>
      <c r="T212" s="233"/>
      <c r="U212" s="232" cm="1">
        <f t="array" ref="U212">SUMPRODUCT((JUL!M_Verweiszeile=$H212)*JUL!M_ProdTag*(JUL!M_Monat=$E212))</f>
        <v>0</v>
      </c>
      <c r="V212" s="232" cm="1">
        <f t="array" ref="V212">SUMPRODUCT((JUL!M_Verweiszeile=$H212)*JUL!M_ProdN1*(JUL!M_Monat=$E212))</f>
        <v>0</v>
      </c>
      <c r="W212" s="232" cm="1">
        <f t="array" ref="W212">SUMPRODUCT((JUL!M_Verweiszeile=$H212)*JUL!M_ProdN2*(JUL!M_Monat=$E212))</f>
        <v>0</v>
      </c>
      <c r="X212" s="232" cm="1">
        <f t="array" ref="X212">SUMPRODUCT((JUL!M_Verweiszeile=$H212)*JUL!M_Reise*(JUL!M_Monat=$E212))</f>
        <v>0</v>
      </c>
      <c r="Y212" s="232" cm="1">
        <f t="array" ref="Y212">SUMPRODUCT((JUL!M_Verweiszeile=$H212)*JUL!M_Reiseabzug*(JUL!M_Monat=$E212))</f>
        <v>0</v>
      </c>
      <c r="Z212" s="232">
        <f t="shared" si="63"/>
        <v>0</v>
      </c>
      <c r="AA212" s="232">
        <f t="shared" si="53"/>
        <v>0</v>
      </c>
      <c r="AB212" s="232">
        <f t="shared" si="54"/>
        <v>0</v>
      </c>
      <c r="AC212" s="232">
        <f t="shared" si="64"/>
        <v>0</v>
      </c>
      <c r="AD212" s="232">
        <f t="shared" si="65"/>
        <v>0</v>
      </c>
      <c r="AE212" s="232">
        <f t="shared" si="66"/>
        <v>0</v>
      </c>
    </row>
    <row r="213" spans="3:31" s="185" customFormat="1" x14ac:dyDescent="0.2">
      <c r="C213" s="128">
        <v>204</v>
      </c>
      <c r="D213" s="186">
        <f t="shared" si="67"/>
        <v>46226</v>
      </c>
      <c r="E213" s="128">
        <f t="shared" si="55"/>
        <v>7</v>
      </c>
      <c r="F213" s="187">
        <f t="shared" si="56"/>
        <v>46226</v>
      </c>
      <c r="G213" s="128">
        <f t="shared" si="57"/>
        <v>30</v>
      </c>
      <c r="H213" s="128">
        <f t="shared" si="58"/>
        <v>23</v>
      </c>
      <c r="I213" s="128">
        <f t="shared" si="59"/>
        <v>4</v>
      </c>
      <c r="J213" s="188">
        <f t="shared" si="60"/>
        <v>46226</v>
      </c>
      <c r="K213" s="128" t="str" cm="1">
        <f t="array" ref="K213">IF(AND(I213&lt;7,INDEX(B_tblFTMatrix,$E213,$H213)="x"),"ft","")</f>
        <v/>
      </c>
      <c r="L213" s="128"/>
      <c r="M213" s="128"/>
      <c r="N213" s="128">
        <f t="shared" si="51"/>
        <v>1</v>
      </c>
      <c r="O213" s="128">
        <f t="shared" si="61"/>
        <v>1</v>
      </c>
      <c r="P213" s="227">
        <f t="shared" si="52"/>
        <v>8</v>
      </c>
      <c r="Q213" s="229" cm="1">
        <f t="array" ref="Q213">SUMPRODUCT((H_tblBGTage=I213)*(H_tblBGMnt=E213)*H_tblBG%)</f>
        <v>1</v>
      </c>
      <c r="R213" s="227">
        <f t="shared" si="62"/>
        <v>8</v>
      </c>
      <c r="S213" s="233"/>
      <c r="T213" s="233"/>
      <c r="U213" s="232" cm="1">
        <f t="array" ref="U213">SUMPRODUCT((JUL!M_Verweiszeile=$H213)*JUL!M_ProdTag*(JUL!M_Monat=$E213))</f>
        <v>0</v>
      </c>
      <c r="V213" s="232" cm="1">
        <f t="array" ref="V213">SUMPRODUCT((JUL!M_Verweiszeile=$H213)*JUL!M_ProdN1*(JUL!M_Monat=$E213))</f>
        <v>0</v>
      </c>
      <c r="W213" s="232" cm="1">
        <f t="array" ref="W213">SUMPRODUCT((JUL!M_Verweiszeile=$H213)*JUL!M_ProdN2*(JUL!M_Monat=$E213))</f>
        <v>0</v>
      </c>
      <c r="X213" s="232" cm="1">
        <f t="array" ref="X213">SUMPRODUCT((JUL!M_Verweiszeile=$H213)*JUL!M_Reise*(JUL!M_Monat=$E213))</f>
        <v>0</v>
      </c>
      <c r="Y213" s="232" cm="1">
        <f t="array" ref="Y213">SUMPRODUCT((JUL!M_Verweiszeile=$H213)*JUL!M_Reiseabzug*(JUL!M_Monat=$E213))</f>
        <v>0</v>
      </c>
      <c r="Z213" s="232">
        <f t="shared" si="63"/>
        <v>0</v>
      </c>
      <c r="AA213" s="232">
        <f t="shared" si="53"/>
        <v>0</v>
      </c>
      <c r="AB213" s="232">
        <f t="shared" si="54"/>
        <v>0</v>
      </c>
      <c r="AC213" s="232">
        <f t="shared" si="64"/>
        <v>0</v>
      </c>
      <c r="AD213" s="232">
        <f t="shared" si="65"/>
        <v>0</v>
      </c>
      <c r="AE213" s="232">
        <f t="shared" si="66"/>
        <v>0</v>
      </c>
    </row>
    <row r="214" spans="3:31" s="185" customFormat="1" x14ac:dyDescent="0.2">
      <c r="C214" s="128">
        <v>205</v>
      </c>
      <c r="D214" s="186">
        <f t="shared" si="67"/>
        <v>46227</v>
      </c>
      <c r="E214" s="128">
        <f t="shared" si="55"/>
        <v>7</v>
      </c>
      <c r="F214" s="187">
        <f t="shared" si="56"/>
        <v>46227</v>
      </c>
      <c r="G214" s="128">
        <f t="shared" si="57"/>
        <v>30</v>
      </c>
      <c r="H214" s="128">
        <f t="shared" si="58"/>
        <v>24</v>
      </c>
      <c r="I214" s="128">
        <f t="shared" si="59"/>
        <v>5</v>
      </c>
      <c r="J214" s="188">
        <f t="shared" si="60"/>
        <v>46227</v>
      </c>
      <c r="K214" s="128" t="str" cm="1">
        <f t="array" ref="K214">IF(AND(I214&lt;7,INDEX(B_tblFTMatrix,$E214,$H214)="x"),"ft","")</f>
        <v/>
      </c>
      <c r="L214" s="128"/>
      <c r="M214" s="128"/>
      <c r="N214" s="128">
        <f t="shared" si="51"/>
        <v>1</v>
      </c>
      <c r="O214" s="128">
        <f t="shared" si="61"/>
        <v>1</v>
      </c>
      <c r="P214" s="227">
        <f t="shared" si="52"/>
        <v>8</v>
      </c>
      <c r="Q214" s="229" cm="1">
        <f t="array" ref="Q214">SUMPRODUCT((H_tblBGTage=I214)*(H_tblBGMnt=E214)*H_tblBG%)</f>
        <v>1</v>
      </c>
      <c r="R214" s="227">
        <f t="shared" si="62"/>
        <v>8</v>
      </c>
      <c r="S214" s="233"/>
      <c r="T214" s="233"/>
      <c r="U214" s="232" cm="1">
        <f t="array" ref="U214">SUMPRODUCT((JUL!M_Verweiszeile=$H214)*JUL!M_ProdTag*(JUL!M_Monat=$E214))</f>
        <v>0</v>
      </c>
      <c r="V214" s="232" cm="1">
        <f t="array" ref="V214">SUMPRODUCT((JUL!M_Verweiszeile=$H214)*JUL!M_ProdN1*(JUL!M_Monat=$E214))</f>
        <v>0</v>
      </c>
      <c r="W214" s="232" cm="1">
        <f t="array" ref="W214">SUMPRODUCT((JUL!M_Verweiszeile=$H214)*JUL!M_ProdN2*(JUL!M_Monat=$E214))</f>
        <v>0</v>
      </c>
      <c r="X214" s="232" cm="1">
        <f t="array" ref="X214">SUMPRODUCT((JUL!M_Verweiszeile=$H214)*JUL!M_Reise*(JUL!M_Monat=$E214))</f>
        <v>0</v>
      </c>
      <c r="Y214" s="232" cm="1">
        <f t="array" ref="Y214">SUMPRODUCT((JUL!M_Verweiszeile=$H214)*JUL!M_Reiseabzug*(JUL!M_Monat=$E214))</f>
        <v>0</v>
      </c>
      <c r="Z214" s="232">
        <f t="shared" si="63"/>
        <v>0</v>
      </c>
      <c r="AA214" s="232">
        <f t="shared" si="53"/>
        <v>0</v>
      </c>
      <c r="AB214" s="232">
        <f t="shared" si="54"/>
        <v>0</v>
      </c>
      <c r="AC214" s="232">
        <f t="shared" si="64"/>
        <v>0</v>
      </c>
      <c r="AD214" s="232">
        <f t="shared" si="65"/>
        <v>0</v>
      </c>
      <c r="AE214" s="232">
        <f t="shared" si="66"/>
        <v>0</v>
      </c>
    </row>
    <row r="215" spans="3:31" s="185" customFormat="1" x14ac:dyDescent="0.2">
      <c r="C215" s="128">
        <v>206</v>
      </c>
      <c r="D215" s="186">
        <f t="shared" si="67"/>
        <v>46228</v>
      </c>
      <c r="E215" s="128">
        <f t="shared" si="55"/>
        <v>7</v>
      </c>
      <c r="F215" s="187">
        <f t="shared" si="56"/>
        <v>46228</v>
      </c>
      <c r="G215" s="128">
        <f t="shared" si="57"/>
        <v>30</v>
      </c>
      <c r="H215" s="128">
        <f t="shared" si="58"/>
        <v>25</v>
      </c>
      <c r="I215" s="128">
        <f t="shared" si="59"/>
        <v>6</v>
      </c>
      <c r="J215" s="188">
        <f t="shared" si="60"/>
        <v>46228</v>
      </c>
      <c r="K215" s="128" t="str" cm="1">
        <f t="array" ref="K215">IF(AND(I215&lt;7,INDEX(B_tblFTMatrix,$E215,$H215)="x"),"ft","")</f>
        <v/>
      </c>
      <c r="L215" s="128"/>
      <c r="M215" s="128"/>
      <c r="N215" s="128">
        <f t="shared" si="51"/>
        <v>0</v>
      </c>
      <c r="O215" s="128">
        <f t="shared" si="61"/>
        <v>0</v>
      </c>
      <c r="P215" s="227">
        <f t="shared" si="52"/>
        <v>0</v>
      </c>
      <c r="Q215" s="229" cm="1">
        <f t="array" ref="Q215">SUMPRODUCT((H_tblBGTage=I215)*(H_tblBGMnt=E215)*H_tblBG%)</f>
        <v>0</v>
      </c>
      <c r="R215" s="227">
        <f t="shared" si="62"/>
        <v>0</v>
      </c>
      <c r="S215" s="233"/>
      <c r="T215" s="233"/>
      <c r="U215" s="232" cm="1">
        <f t="array" ref="U215">SUMPRODUCT((JUL!M_Verweiszeile=$H215)*JUL!M_ProdTag*(JUL!M_Monat=$E215))</f>
        <v>0</v>
      </c>
      <c r="V215" s="232" cm="1">
        <f t="array" ref="V215">SUMPRODUCT((JUL!M_Verweiszeile=$H215)*JUL!M_ProdN1*(JUL!M_Monat=$E215))</f>
        <v>0</v>
      </c>
      <c r="W215" s="232" cm="1">
        <f t="array" ref="W215">SUMPRODUCT((JUL!M_Verweiszeile=$H215)*JUL!M_ProdN2*(JUL!M_Monat=$E215))</f>
        <v>0</v>
      </c>
      <c r="X215" s="232" cm="1">
        <f t="array" ref="X215">SUMPRODUCT((JUL!M_Verweiszeile=$H215)*JUL!M_Reise*(JUL!M_Monat=$E215))</f>
        <v>0</v>
      </c>
      <c r="Y215" s="232" cm="1">
        <f t="array" ref="Y215">SUMPRODUCT((JUL!M_Verweiszeile=$H215)*JUL!M_Reiseabzug*(JUL!M_Monat=$E215))</f>
        <v>0</v>
      </c>
      <c r="Z215" s="232">
        <f t="shared" si="63"/>
        <v>0</v>
      </c>
      <c r="AA215" s="232">
        <f t="shared" si="53"/>
        <v>0</v>
      </c>
      <c r="AB215" s="232">
        <f t="shared" si="54"/>
        <v>0</v>
      </c>
      <c r="AC215" s="232">
        <f t="shared" si="64"/>
        <v>0</v>
      </c>
      <c r="AD215" s="232">
        <f t="shared" si="65"/>
        <v>0</v>
      </c>
      <c r="AE215" s="232">
        <f t="shared" si="66"/>
        <v>0</v>
      </c>
    </row>
    <row r="216" spans="3:31" s="185" customFormat="1" x14ac:dyDescent="0.2">
      <c r="C216" s="128">
        <v>207</v>
      </c>
      <c r="D216" s="186">
        <f t="shared" si="67"/>
        <v>46229</v>
      </c>
      <c r="E216" s="128">
        <f t="shared" si="55"/>
        <v>7</v>
      </c>
      <c r="F216" s="187">
        <f t="shared" si="56"/>
        <v>46229</v>
      </c>
      <c r="G216" s="128">
        <f t="shared" si="57"/>
        <v>30</v>
      </c>
      <c r="H216" s="128">
        <f t="shared" si="58"/>
        <v>26</v>
      </c>
      <c r="I216" s="128">
        <f t="shared" si="59"/>
        <v>7</v>
      </c>
      <c r="J216" s="188">
        <f t="shared" si="60"/>
        <v>46229</v>
      </c>
      <c r="K216" s="128" t="str" cm="1">
        <f t="array" ref="K216">IF(AND(I216&lt;7,INDEX(B_tblFTMatrix,$E216,$H216)="x"),"ft","")</f>
        <v/>
      </c>
      <c r="L216" s="128"/>
      <c r="M216" s="128"/>
      <c r="N216" s="128">
        <f t="shared" si="51"/>
        <v>0</v>
      </c>
      <c r="O216" s="128">
        <f t="shared" si="61"/>
        <v>0</v>
      </c>
      <c r="P216" s="227">
        <f t="shared" si="52"/>
        <v>0</v>
      </c>
      <c r="Q216" s="229" cm="1">
        <f t="array" ref="Q216">SUMPRODUCT((H_tblBGTage=I216)*(H_tblBGMnt=E216)*H_tblBG%)</f>
        <v>0</v>
      </c>
      <c r="R216" s="227">
        <f t="shared" si="62"/>
        <v>0</v>
      </c>
      <c r="S216" s="233"/>
      <c r="T216" s="233"/>
      <c r="U216" s="232" cm="1">
        <f t="array" ref="U216">SUMPRODUCT((JUL!M_Verweiszeile=$H216)*JUL!M_ProdTag*(JUL!M_Monat=$E216))</f>
        <v>0</v>
      </c>
      <c r="V216" s="232" cm="1">
        <f t="array" ref="V216">SUMPRODUCT((JUL!M_Verweiszeile=$H216)*JUL!M_ProdN1*(JUL!M_Monat=$E216))</f>
        <v>0</v>
      </c>
      <c r="W216" s="232" cm="1">
        <f t="array" ref="W216">SUMPRODUCT((JUL!M_Verweiszeile=$H216)*JUL!M_ProdN2*(JUL!M_Monat=$E216))</f>
        <v>0</v>
      </c>
      <c r="X216" s="232" cm="1">
        <f t="array" ref="X216">SUMPRODUCT((JUL!M_Verweiszeile=$H216)*JUL!M_Reise*(JUL!M_Monat=$E216))</f>
        <v>0</v>
      </c>
      <c r="Y216" s="232" cm="1">
        <f t="array" ref="Y216">SUMPRODUCT((JUL!M_Verweiszeile=$H216)*JUL!M_Reiseabzug*(JUL!M_Monat=$E216))</f>
        <v>0</v>
      </c>
      <c r="Z216" s="232">
        <f t="shared" si="63"/>
        <v>0</v>
      </c>
      <c r="AA216" s="232">
        <f t="shared" si="53"/>
        <v>0</v>
      </c>
      <c r="AB216" s="232">
        <f t="shared" si="54"/>
        <v>0</v>
      </c>
      <c r="AC216" s="232">
        <f t="shared" si="64"/>
        <v>0</v>
      </c>
      <c r="AD216" s="232">
        <f t="shared" si="65"/>
        <v>0</v>
      </c>
      <c r="AE216" s="232">
        <f t="shared" si="66"/>
        <v>0</v>
      </c>
    </row>
    <row r="217" spans="3:31" s="185" customFormat="1" x14ac:dyDescent="0.2">
      <c r="C217" s="128">
        <v>208</v>
      </c>
      <c r="D217" s="186">
        <f t="shared" si="67"/>
        <v>46230</v>
      </c>
      <c r="E217" s="128">
        <f t="shared" si="55"/>
        <v>7</v>
      </c>
      <c r="F217" s="187">
        <f t="shared" si="56"/>
        <v>46230</v>
      </c>
      <c r="G217" s="128">
        <f t="shared" si="57"/>
        <v>31</v>
      </c>
      <c r="H217" s="128">
        <f t="shared" si="58"/>
        <v>27</v>
      </c>
      <c r="I217" s="128">
        <f t="shared" si="59"/>
        <v>1</v>
      </c>
      <c r="J217" s="188">
        <f t="shared" si="60"/>
        <v>46230</v>
      </c>
      <c r="K217" s="128" t="str" cm="1">
        <f t="array" ref="K217">IF(AND(I217&lt;7,INDEX(B_tblFTMatrix,$E217,$H217)="x"),"ft","")</f>
        <v/>
      </c>
      <c r="L217" s="128"/>
      <c r="M217" s="128"/>
      <c r="N217" s="128">
        <f t="shared" si="51"/>
        <v>1</v>
      </c>
      <c r="O217" s="128">
        <f t="shared" si="61"/>
        <v>1</v>
      </c>
      <c r="P217" s="227">
        <f t="shared" si="52"/>
        <v>8</v>
      </c>
      <c r="Q217" s="229" cm="1">
        <f t="array" ref="Q217">SUMPRODUCT((H_tblBGTage=I217)*(H_tblBGMnt=E217)*H_tblBG%)</f>
        <v>1</v>
      </c>
      <c r="R217" s="227">
        <f t="shared" si="62"/>
        <v>8</v>
      </c>
      <c r="S217" s="233"/>
      <c r="T217" s="233"/>
      <c r="U217" s="232" cm="1">
        <f t="array" ref="U217">SUMPRODUCT((JUL!M_Verweiszeile=$H217)*JUL!M_ProdTag*(JUL!M_Monat=$E217))</f>
        <v>0</v>
      </c>
      <c r="V217" s="232" cm="1">
        <f t="array" ref="V217">SUMPRODUCT((JUL!M_Verweiszeile=$H217)*JUL!M_ProdN1*(JUL!M_Monat=$E217))</f>
        <v>0</v>
      </c>
      <c r="W217" s="232" cm="1">
        <f t="array" ref="W217">SUMPRODUCT((JUL!M_Verweiszeile=$H217)*JUL!M_ProdN2*(JUL!M_Monat=$E217))</f>
        <v>0</v>
      </c>
      <c r="X217" s="232" cm="1">
        <f t="array" ref="X217">SUMPRODUCT((JUL!M_Verweiszeile=$H217)*JUL!M_Reise*(JUL!M_Monat=$E217))</f>
        <v>0</v>
      </c>
      <c r="Y217" s="232" cm="1">
        <f t="array" ref="Y217">SUMPRODUCT((JUL!M_Verweiszeile=$H217)*JUL!M_Reiseabzug*(JUL!M_Monat=$E217))</f>
        <v>0</v>
      </c>
      <c r="Z217" s="232">
        <f t="shared" si="63"/>
        <v>0</v>
      </c>
      <c r="AA217" s="232">
        <f t="shared" si="53"/>
        <v>0</v>
      </c>
      <c r="AB217" s="232">
        <f t="shared" si="54"/>
        <v>0</v>
      </c>
      <c r="AC217" s="232">
        <f t="shared" si="64"/>
        <v>0</v>
      </c>
      <c r="AD217" s="232">
        <f t="shared" si="65"/>
        <v>0</v>
      </c>
      <c r="AE217" s="232">
        <f t="shared" si="66"/>
        <v>0</v>
      </c>
    </row>
    <row r="218" spans="3:31" s="185" customFormat="1" x14ac:dyDescent="0.2">
      <c r="C218" s="128">
        <v>209</v>
      </c>
      <c r="D218" s="186">
        <f t="shared" si="67"/>
        <v>46231</v>
      </c>
      <c r="E218" s="128">
        <f t="shared" si="55"/>
        <v>7</v>
      </c>
      <c r="F218" s="187">
        <f t="shared" si="56"/>
        <v>46231</v>
      </c>
      <c r="G218" s="128">
        <f t="shared" si="57"/>
        <v>31</v>
      </c>
      <c r="H218" s="128">
        <f t="shared" si="58"/>
        <v>28</v>
      </c>
      <c r="I218" s="128">
        <f t="shared" si="59"/>
        <v>2</v>
      </c>
      <c r="J218" s="188">
        <f t="shared" si="60"/>
        <v>46231</v>
      </c>
      <c r="K218" s="128" t="str" cm="1">
        <f t="array" ref="K218">IF(AND(I218&lt;7,INDEX(B_tblFTMatrix,$E218,$H218)="x"),"ft","")</f>
        <v/>
      </c>
      <c r="L218" s="128"/>
      <c r="M218" s="128"/>
      <c r="N218" s="128">
        <f t="shared" si="51"/>
        <v>1</v>
      </c>
      <c r="O218" s="128">
        <f t="shared" si="61"/>
        <v>1</v>
      </c>
      <c r="P218" s="227">
        <f t="shared" si="52"/>
        <v>8</v>
      </c>
      <c r="Q218" s="229" cm="1">
        <f t="array" ref="Q218">SUMPRODUCT((H_tblBGTage=I218)*(H_tblBGMnt=E218)*H_tblBG%)</f>
        <v>1</v>
      </c>
      <c r="R218" s="227">
        <f t="shared" si="62"/>
        <v>8</v>
      </c>
      <c r="S218" s="233"/>
      <c r="T218" s="233"/>
      <c r="U218" s="232" cm="1">
        <f t="array" ref="U218">SUMPRODUCT((JUL!M_Verweiszeile=$H218)*JUL!M_ProdTag*(JUL!M_Monat=$E218))</f>
        <v>0</v>
      </c>
      <c r="V218" s="232" cm="1">
        <f t="array" ref="V218">SUMPRODUCT((JUL!M_Verweiszeile=$H218)*JUL!M_ProdN1*(JUL!M_Monat=$E218))</f>
        <v>0</v>
      </c>
      <c r="W218" s="232" cm="1">
        <f t="array" ref="W218">SUMPRODUCT((JUL!M_Verweiszeile=$H218)*JUL!M_ProdN2*(JUL!M_Monat=$E218))</f>
        <v>0</v>
      </c>
      <c r="X218" s="232" cm="1">
        <f t="array" ref="X218">SUMPRODUCT((JUL!M_Verweiszeile=$H218)*JUL!M_Reise*(JUL!M_Monat=$E218))</f>
        <v>0</v>
      </c>
      <c r="Y218" s="232" cm="1">
        <f t="array" ref="Y218">SUMPRODUCT((JUL!M_Verweiszeile=$H218)*JUL!M_Reiseabzug*(JUL!M_Monat=$E218))</f>
        <v>0</v>
      </c>
      <c r="Z218" s="232">
        <f t="shared" si="63"/>
        <v>0</v>
      </c>
      <c r="AA218" s="232">
        <f t="shared" si="53"/>
        <v>0</v>
      </c>
      <c r="AB218" s="232">
        <f t="shared" si="54"/>
        <v>0</v>
      </c>
      <c r="AC218" s="232">
        <f t="shared" si="64"/>
        <v>0</v>
      </c>
      <c r="AD218" s="232">
        <f t="shared" si="65"/>
        <v>0</v>
      </c>
      <c r="AE218" s="232">
        <f t="shared" si="66"/>
        <v>0</v>
      </c>
    </row>
    <row r="219" spans="3:31" s="185" customFormat="1" x14ac:dyDescent="0.2">
      <c r="C219" s="128">
        <v>210</v>
      </c>
      <c r="D219" s="186">
        <f t="shared" si="67"/>
        <v>46232</v>
      </c>
      <c r="E219" s="128">
        <f t="shared" si="55"/>
        <v>7</v>
      </c>
      <c r="F219" s="187">
        <f t="shared" si="56"/>
        <v>46232</v>
      </c>
      <c r="G219" s="128">
        <f t="shared" si="57"/>
        <v>31</v>
      </c>
      <c r="H219" s="128">
        <f t="shared" si="58"/>
        <v>29</v>
      </c>
      <c r="I219" s="128">
        <f t="shared" si="59"/>
        <v>3</v>
      </c>
      <c r="J219" s="188">
        <f t="shared" si="60"/>
        <v>46232</v>
      </c>
      <c r="K219" s="128" t="str" cm="1">
        <f t="array" ref="K219">IF(AND(I219&lt;7,INDEX(B_tblFTMatrix,$E219,$H219)="x"),"ft","")</f>
        <v/>
      </c>
      <c r="L219" s="128"/>
      <c r="M219" s="128"/>
      <c r="N219" s="128">
        <f t="shared" si="51"/>
        <v>1</v>
      </c>
      <c r="O219" s="128">
        <f t="shared" si="61"/>
        <v>1</v>
      </c>
      <c r="P219" s="227">
        <f t="shared" si="52"/>
        <v>8</v>
      </c>
      <c r="Q219" s="229" cm="1">
        <f t="array" ref="Q219">SUMPRODUCT((H_tblBGTage=I219)*(H_tblBGMnt=E219)*H_tblBG%)</f>
        <v>1</v>
      </c>
      <c r="R219" s="227">
        <f t="shared" si="62"/>
        <v>8</v>
      </c>
      <c r="S219" s="233"/>
      <c r="T219" s="233"/>
      <c r="U219" s="232" cm="1">
        <f t="array" ref="U219">SUMPRODUCT((JUL!M_Verweiszeile=$H219)*JUL!M_ProdTag*(JUL!M_Monat=$E219))</f>
        <v>0</v>
      </c>
      <c r="V219" s="232" cm="1">
        <f t="array" ref="V219">SUMPRODUCT((JUL!M_Verweiszeile=$H219)*JUL!M_ProdN1*(JUL!M_Monat=$E219))</f>
        <v>0</v>
      </c>
      <c r="W219" s="232" cm="1">
        <f t="array" ref="W219">SUMPRODUCT((JUL!M_Verweiszeile=$H219)*JUL!M_ProdN2*(JUL!M_Monat=$E219))</f>
        <v>0</v>
      </c>
      <c r="X219" s="232" cm="1">
        <f t="array" ref="X219">SUMPRODUCT((JUL!M_Verweiszeile=$H219)*JUL!M_Reise*(JUL!M_Monat=$E219))</f>
        <v>0</v>
      </c>
      <c r="Y219" s="232" cm="1">
        <f t="array" ref="Y219">SUMPRODUCT((JUL!M_Verweiszeile=$H219)*JUL!M_Reiseabzug*(JUL!M_Monat=$E219))</f>
        <v>0</v>
      </c>
      <c r="Z219" s="232">
        <f t="shared" si="63"/>
        <v>0</v>
      </c>
      <c r="AA219" s="232">
        <f t="shared" si="53"/>
        <v>0</v>
      </c>
      <c r="AB219" s="232">
        <f t="shared" si="54"/>
        <v>0</v>
      </c>
      <c r="AC219" s="232">
        <f t="shared" si="64"/>
        <v>0</v>
      </c>
      <c r="AD219" s="232">
        <f t="shared" si="65"/>
        <v>0</v>
      </c>
      <c r="AE219" s="232">
        <f t="shared" si="66"/>
        <v>0</v>
      </c>
    </row>
    <row r="220" spans="3:31" s="185" customFormat="1" x14ac:dyDescent="0.2">
      <c r="C220" s="128">
        <v>211</v>
      </c>
      <c r="D220" s="186">
        <f t="shared" si="67"/>
        <v>46233</v>
      </c>
      <c r="E220" s="128">
        <f t="shared" si="55"/>
        <v>7</v>
      </c>
      <c r="F220" s="187">
        <f t="shared" si="56"/>
        <v>46233</v>
      </c>
      <c r="G220" s="128">
        <f t="shared" si="57"/>
        <v>31</v>
      </c>
      <c r="H220" s="128">
        <f t="shared" si="58"/>
        <v>30</v>
      </c>
      <c r="I220" s="128">
        <f t="shared" si="59"/>
        <v>4</v>
      </c>
      <c r="J220" s="188">
        <f t="shared" si="60"/>
        <v>46233</v>
      </c>
      <c r="K220" s="128" t="str" cm="1">
        <f t="array" ref="K220">IF(AND(I220&lt;7,INDEX(B_tblFTMatrix,$E220,$H220)="x"),"ft","")</f>
        <v/>
      </c>
      <c r="L220" s="128"/>
      <c r="M220" s="128"/>
      <c r="N220" s="128">
        <f t="shared" si="51"/>
        <v>1</v>
      </c>
      <c r="O220" s="128">
        <f t="shared" si="61"/>
        <v>1</v>
      </c>
      <c r="P220" s="227">
        <f t="shared" si="52"/>
        <v>8</v>
      </c>
      <c r="Q220" s="229" cm="1">
        <f t="array" ref="Q220">SUMPRODUCT((H_tblBGTage=I220)*(H_tblBGMnt=E220)*H_tblBG%)</f>
        <v>1</v>
      </c>
      <c r="R220" s="227">
        <f t="shared" si="62"/>
        <v>8</v>
      </c>
      <c r="S220" s="233"/>
      <c r="T220" s="233"/>
      <c r="U220" s="232" cm="1">
        <f t="array" ref="U220">SUMPRODUCT((JUL!M_Verweiszeile=$H220)*JUL!M_ProdTag*(JUL!M_Monat=$E220))</f>
        <v>0</v>
      </c>
      <c r="V220" s="232" cm="1">
        <f t="array" ref="V220">SUMPRODUCT((JUL!M_Verweiszeile=$H220)*JUL!M_ProdN1*(JUL!M_Monat=$E220))</f>
        <v>0</v>
      </c>
      <c r="W220" s="232" cm="1">
        <f t="array" ref="W220">SUMPRODUCT((JUL!M_Verweiszeile=$H220)*JUL!M_ProdN2*(JUL!M_Monat=$E220))</f>
        <v>0</v>
      </c>
      <c r="X220" s="232" cm="1">
        <f t="array" ref="X220">SUMPRODUCT((JUL!M_Verweiszeile=$H220)*JUL!M_Reise*(JUL!M_Monat=$E220))</f>
        <v>0</v>
      </c>
      <c r="Y220" s="232" cm="1">
        <f t="array" ref="Y220">SUMPRODUCT((JUL!M_Verweiszeile=$H220)*JUL!M_Reiseabzug*(JUL!M_Monat=$E220))</f>
        <v>0</v>
      </c>
      <c r="Z220" s="232">
        <f t="shared" si="63"/>
        <v>0</v>
      </c>
      <c r="AA220" s="232">
        <f t="shared" si="53"/>
        <v>0</v>
      </c>
      <c r="AB220" s="232">
        <f t="shared" si="54"/>
        <v>0</v>
      </c>
      <c r="AC220" s="232">
        <f t="shared" si="64"/>
        <v>0</v>
      </c>
      <c r="AD220" s="232">
        <f t="shared" si="65"/>
        <v>0</v>
      </c>
      <c r="AE220" s="232">
        <f t="shared" si="66"/>
        <v>0</v>
      </c>
    </row>
    <row r="221" spans="3:31" s="185" customFormat="1" x14ac:dyDescent="0.2">
      <c r="C221" s="128">
        <v>212</v>
      </c>
      <c r="D221" s="186">
        <f t="shared" si="67"/>
        <v>46234</v>
      </c>
      <c r="E221" s="128">
        <f t="shared" si="55"/>
        <v>7</v>
      </c>
      <c r="F221" s="187">
        <f t="shared" si="56"/>
        <v>46234</v>
      </c>
      <c r="G221" s="128">
        <f t="shared" si="57"/>
        <v>31</v>
      </c>
      <c r="H221" s="128">
        <f t="shared" si="58"/>
        <v>31</v>
      </c>
      <c r="I221" s="128">
        <f t="shared" si="59"/>
        <v>5</v>
      </c>
      <c r="J221" s="188">
        <f t="shared" si="60"/>
        <v>46234</v>
      </c>
      <c r="K221" s="128" t="str" cm="1">
        <f t="array" ref="K221">IF(AND(I221&lt;7,INDEX(B_tblFTMatrix,$E221,$H221)="x"),"ft","")</f>
        <v/>
      </c>
      <c r="L221" s="128"/>
      <c r="M221" s="128"/>
      <c r="N221" s="128">
        <f t="shared" si="51"/>
        <v>1</v>
      </c>
      <c r="O221" s="128">
        <f t="shared" si="61"/>
        <v>1</v>
      </c>
      <c r="P221" s="227">
        <f t="shared" si="52"/>
        <v>8</v>
      </c>
      <c r="Q221" s="229" cm="1">
        <f t="array" ref="Q221">SUMPRODUCT((H_tblBGTage=I221)*(H_tblBGMnt=E221)*H_tblBG%)</f>
        <v>1</v>
      </c>
      <c r="R221" s="227">
        <f t="shared" si="62"/>
        <v>8</v>
      </c>
      <c r="S221" s="233"/>
      <c r="T221" s="233"/>
      <c r="U221" s="232" cm="1">
        <f t="array" ref="U221">SUMPRODUCT((JUL!M_Verweiszeile=$H221)*JUL!M_ProdTag*(JUL!M_Monat=$E221))</f>
        <v>0</v>
      </c>
      <c r="V221" s="232" cm="1">
        <f t="array" ref="V221">SUMPRODUCT((JUL!M_Verweiszeile=$H221)*JUL!M_ProdN1*(JUL!M_Monat=$E221))</f>
        <v>0</v>
      </c>
      <c r="W221" s="232" cm="1">
        <f t="array" ref="W221">SUMPRODUCT((JUL!M_Verweiszeile=$H221)*JUL!M_ProdN2*(JUL!M_Monat=$E221))</f>
        <v>0</v>
      </c>
      <c r="X221" s="232" cm="1">
        <f t="array" ref="X221">SUMPRODUCT((JUL!M_Verweiszeile=$H221)*JUL!M_Reise*(JUL!M_Monat=$E221))</f>
        <v>0</v>
      </c>
      <c r="Y221" s="232" cm="1">
        <f t="array" ref="Y221">SUMPRODUCT((JUL!M_Verweiszeile=$H221)*JUL!M_Reiseabzug*(JUL!M_Monat=$E221))</f>
        <v>0</v>
      </c>
      <c r="Z221" s="232">
        <f t="shared" si="63"/>
        <v>0</v>
      </c>
      <c r="AA221" s="232">
        <f t="shared" si="53"/>
        <v>0</v>
      </c>
      <c r="AB221" s="232">
        <f t="shared" si="54"/>
        <v>0</v>
      </c>
      <c r="AC221" s="232">
        <f t="shared" si="64"/>
        <v>0</v>
      </c>
      <c r="AD221" s="232">
        <f t="shared" si="65"/>
        <v>0</v>
      </c>
      <c r="AE221" s="232">
        <f t="shared" si="66"/>
        <v>0</v>
      </c>
    </row>
    <row r="222" spans="3:31" s="185" customFormat="1" x14ac:dyDescent="0.2">
      <c r="C222" s="128">
        <v>213</v>
      </c>
      <c r="D222" s="186">
        <f t="shared" si="67"/>
        <v>46235</v>
      </c>
      <c r="E222" s="128">
        <f t="shared" si="55"/>
        <v>8</v>
      </c>
      <c r="F222" s="187">
        <f t="shared" si="56"/>
        <v>46235</v>
      </c>
      <c r="G222" s="128">
        <f t="shared" si="57"/>
        <v>31</v>
      </c>
      <c r="H222" s="128">
        <f t="shared" si="58"/>
        <v>1</v>
      </c>
      <c r="I222" s="128">
        <f t="shared" si="59"/>
        <v>6</v>
      </c>
      <c r="J222" s="188">
        <f t="shared" si="60"/>
        <v>46235</v>
      </c>
      <c r="K222" s="128" t="str" cm="1">
        <f t="array" ref="K222">IF(AND(I222&lt;7,INDEX(B_tblFTMatrix,$E222,$H222)="x"),"ft","")</f>
        <v/>
      </c>
      <c r="L222" s="128"/>
      <c r="M222" s="128"/>
      <c r="N222" s="128">
        <f t="shared" si="51"/>
        <v>0</v>
      </c>
      <c r="O222" s="128">
        <f t="shared" si="61"/>
        <v>0</v>
      </c>
      <c r="P222" s="227">
        <f t="shared" si="52"/>
        <v>0</v>
      </c>
      <c r="Q222" s="229" cm="1">
        <f t="array" ref="Q222">SUMPRODUCT((H_tblBGTage=I222)*(H_tblBGMnt=E222)*H_tblBG%)</f>
        <v>0</v>
      </c>
      <c r="R222" s="227">
        <f t="shared" si="62"/>
        <v>0</v>
      </c>
      <c r="S222" s="233"/>
      <c r="T222" s="233"/>
      <c r="U222" s="311" cm="1">
        <f t="array" ref="U222">SUMPRODUCT((JUL!M_Verweiszeile=$H222)*JUL!M_ProdTag*(JUL!M_Monat=$E222))+SUMPRODUCT((AOÛ!M_Verweiszeile=$H222)*AOÛ!M_ProdTag*(AOÛ!M_Monat=$E222))</f>
        <v>0</v>
      </c>
      <c r="V222" s="232" cm="1">
        <f t="array" ref="V222">SUMPRODUCT((JUL!M_Verweiszeile=$H222)*JUL!M_ProdN1*(JUL!M_Monat=$E222))+SUMPRODUCT((AOÛ!M_Verweiszeile=$H222)*AOÛ!M_ProdN1*(AOÛ!M_Monat=$E222))</f>
        <v>0</v>
      </c>
      <c r="W222" s="232" cm="1">
        <f t="array" ref="W222">SUMPRODUCT((JUL!M_Verweiszeile=$H222)*JUL!M_ProdN2*(JUL!M_Monat=$E222))+SUMPRODUCT((AOÛ!M_Verweiszeile=$H222)*AOÛ!M_ProdN2*(AOÛ!M_Monat=$E222))</f>
        <v>0</v>
      </c>
      <c r="X222" s="232" cm="1">
        <f t="array" ref="X222">SUMPRODUCT((JUL!M_Verweiszeile=$H222)*JUL!M_Reise*(JUL!M_Monat=$E222))+SUMPRODUCT((AOÛ!M_Verweiszeile=$H222)*AOÛ!M_Reise*(AOÛ!M_Monat=$E222))</f>
        <v>0</v>
      </c>
      <c r="Y222" s="232" cm="1">
        <f t="array" ref="Y222">SUMPRODUCT((JUL!M_Verweiszeile=$H222)*JUL!M_Reiseabzug*(JUL!M_Monat=$E222))+SUMPRODUCT((AOÛ!M_Verweiszeile=$H222)*AOÛ!M_Reiseabzug*(AOÛ!M_Monat=$E222))</f>
        <v>0</v>
      </c>
      <c r="Z222" s="232">
        <f t="shared" si="63"/>
        <v>0</v>
      </c>
      <c r="AA222" s="232">
        <f t="shared" si="53"/>
        <v>0</v>
      </c>
      <c r="AB222" s="232">
        <f t="shared" si="54"/>
        <v>0</v>
      </c>
      <c r="AC222" s="232">
        <f t="shared" si="64"/>
        <v>0</v>
      </c>
      <c r="AD222" s="232">
        <f t="shared" si="65"/>
        <v>0</v>
      </c>
      <c r="AE222" s="232">
        <f t="shared" si="66"/>
        <v>0</v>
      </c>
    </row>
    <row r="223" spans="3:31" s="185" customFormat="1" x14ac:dyDescent="0.2">
      <c r="C223" s="128">
        <v>214</v>
      </c>
      <c r="D223" s="186">
        <f t="shared" si="67"/>
        <v>46236</v>
      </c>
      <c r="E223" s="128">
        <f t="shared" si="55"/>
        <v>8</v>
      </c>
      <c r="F223" s="187">
        <f t="shared" si="56"/>
        <v>46236</v>
      </c>
      <c r="G223" s="128">
        <f t="shared" si="57"/>
        <v>31</v>
      </c>
      <c r="H223" s="128">
        <f t="shared" si="58"/>
        <v>2</v>
      </c>
      <c r="I223" s="128">
        <f t="shared" si="59"/>
        <v>7</v>
      </c>
      <c r="J223" s="188">
        <f t="shared" si="60"/>
        <v>46236</v>
      </c>
      <c r="K223" s="128" t="str" cm="1">
        <f t="array" ref="K223">IF(AND(I223&lt;7,INDEX(B_tblFTMatrix,$E223,$H223)="x"),"ft","")</f>
        <v/>
      </c>
      <c r="L223" s="128"/>
      <c r="M223" s="128"/>
      <c r="N223" s="128">
        <f t="shared" si="51"/>
        <v>0</v>
      </c>
      <c r="O223" s="128">
        <f t="shared" si="61"/>
        <v>0</v>
      </c>
      <c r="P223" s="227">
        <f t="shared" si="52"/>
        <v>0</v>
      </c>
      <c r="Q223" s="229" cm="1">
        <f t="array" ref="Q223">SUMPRODUCT((H_tblBGTage=I223)*(H_tblBGMnt=E223)*H_tblBG%)</f>
        <v>0</v>
      </c>
      <c r="R223" s="227">
        <f t="shared" si="62"/>
        <v>0</v>
      </c>
      <c r="S223" s="233"/>
      <c r="T223" s="233"/>
      <c r="U223" s="311" cm="1">
        <f t="array" ref="U223">SUMPRODUCT((AOÛ!M_Verweiszeile=$H223)*AOÛ!M_ProdTag*(AOÛ!M_Monat=$E223))</f>
        <v>0</v>
      </c>
      <c r="V223" s="232" cm="1">
        <f t="array" ref="V223">SUMPRODUCT((AOÛ!M_Verweiszeile=$H223)*AOÛ!M_ProdN1*(AOÛ!M_Monat=$E223))</f>
        <v>0</v>
      </c>
      <c r="W223" s="232" cm="1">
        <f t="array" ref="W223">SUMPRODUCT((AOÛ!M_Verweiszeile=$H223)*AOÛ!M_ProdN2*(AOÛ!M_Monat=$E223))</f>
        <v>0</v>
      </c>
      <c r="X223" s="232" cm="1">
        <f t="array" ref="X223">SUMPRODUCT((AOÛ!M_Verweiszeile=$H223)*AOÛ!M_Reise*(AOÛ!M_Monat=$E223))</f>
        <v>0</v>
      </c>
      <c r="Y223" s="232" cm="1">
        <f t="array" ref="Y223">SUMPRODUCT((AOÛ!M_Verweiszeile=$H223)*AOÛ!M_Reiseabzug*(AOÛ!M_Monat=$E223))</f>
        <v>0</v>
      </c>
      <c r="Z223" s="232">
        <f t="shared" si="63"/>
        <v>0</v>
      </c>
      <c r="AA223" s="232">
        <f t="shared" si="53"/>
        <v>0</v>
      </c>
      <c r="AB223" s="232">
        <f t="shared" si="54"/>
        <v>0</v>
      </c>
      <c r="AC223" s="232">
        <f t="shared" si="64"/>
        <v>0</v>
      </c>
      <c r="AD223" s="232">
        <f t="shared" si="65"/>
        <v>0</v>
      </c>
      <c r="AE223" s="232">
        <f t="shared" si="66"/>
        <v>0</v>
      </c>
    </row>
    <row r="224" spans="3:31" s="185" customFormat="1" x14ac:dyDescent="0.2">
      <c r="C224" s="128">
        <v>215</v>
      </c>
      <c r="D224" s="186">
        <f t="shared" si="67"/>
        <v>46237</v>
      </c>
      <c r="E224" s="128">
        <f t="shared" si="55"/>
        <v>8</v>
      </c>
      <c r="F224" s="187">
        <f t="shared" si="56"/>
        <v>46237</v>
      </c>
      <c r="G224" s="128">
        <f t="shared" si="57"/>
        <v>32</v>
      </c>
      <c r="H224" s="128">
        <f t="shared" si="58"/>
        <v>3</v>
      </c>
      <c r="I224" s="128">
        <f t="shared" si="59"/>
        <v>1</v>
      </c>
      <c r="J224" s="188">
        <f t="shared" si="60"/>
        <v>46237</v>
      </c>
      <c r="K224" s="128" t="str" cm="1">
        <f t="array" ref="K224">IF(AND(I224&lt;7,INDEX(B_tblFTMatrix,$E224,$H224)="x"),"ft","")</f>
        <v/>
      </c>
      <c r="L224" s="128"/>
      <c r="M224" s="128"/>
      <c r="N224" s="128">
        <f t="shared" si="51"/>
        <v>1</v>
      </c>
      <c r="O224" s="128">
        <f t="shared" si="61"/>
        <v>1</v>
      </c>
      <c r="P224" s="227">
        <f t="shared" si="52"/>
        <v>8</v>
      </c>
      <c r="Q224" s="229" cm="1">
        <f t="array" ref="Q224">SUMPRODUCT((H_tblBGTage=I224)*(H_tblBGMnt=E224)*H_tblBG%)</f>
        <v>1</v>
      </c>
      <c r="R224" s="227">
        <f t="shared" si="62"/>
        <v>8</v>
      </c>
      <c r="S224" s="233"/>
      <c r="T224" s="233"/>
      <c r="U224" s="232" cm="1">
        <f t="array" ref="U224">SUMPRODUCT((AOÛ!M_Verweiszeile=$H224)*AOÛ!M_ProdTag*(AOÛ!M_Monat=$E224))</f>
        <v>0</v>
      </c>
      <c r="V224" s="232" cm="1">
        <f t="array" ref="V224">SUMPRODUCT((AOÛ!M_Verweiszeile=$H224)*AOÛ!M_ProdN1*(AOÛ!M_Monat=$E224))</f>
        <v>0</v>
      </c>
      <c r="W224" s="232" cm="1">
        <f t="array" ref="W224">SUMPRODUCT((AOÛ!M_Verweiszeile=$H224)*AOÛ!M_ProdN2*(AOÛ!M_Monat=$E224))</f>
        <v>0</v>
      </c>
      <c r="X224" s="232" cm="1">
        <f t="array" ref="X224">SUMPRODUCT((AOÛ!M_Verweiszeile=$H224)*AOÛ!M_Reise*(AOÛ!M_Monat=$E224))</f>
        <v>0</v>
      </c>
      <c r="Y224" s="232" cm="1">
        <f t="array" ref="Y224">SUMPRODUCT((AOÛ!M_Verweiszeile=$H224)*AOÛ!M_Reiseabzug*(AOÛ!M_Monat=$E224))</f>
        <v>0</v>
      </c>
      <c r="Z224" s="232">
        <f t="shared" si="63"/>
        <v>0</v>
      </c>
      <c r="AA224" s="232">
        <f t="shared" si="53"/>
        <v>0</v>
      </c>
      <c r="AB224" s="232">
        <f t="shared" si="54"/>
        <v>0</v>
      </c>
      <c r="AC224" s="232">
        <f t="shared" si="64"/>
        <v>0</v>
      </c>
      <c r="AD224" s="232">
        <f t="shared" si="65"/>
        <v>0</v>
      </c>
      <c r="AE224" s="232">
        <f t="shared" si="66"/>
        <v>0</v>
      </c>
    </row>
    <row r="225" spans="3:31" s="185" customFormat="1" x14ac:dyDescent="0.2">
      <c r="C225" s="128">
        <v>216</v>
      </c>
      <c r="D225" s="186">
        <f t="shared" si="67"/>
        <v>46238</v>
      </c>
      <c r="E225" s="128">
        <f t="shared" si="55"/>
        <v>8</v>
      </c>
      <c r="F225" s="187">
        <f t="shared" si="56"/>
        <v>46238</v>
      </c>
      <c r="G225" s="128">
        <f t="shared" si="57"/>
        <v>32</v>
      </c>
      <c r="H225" s="128">
        <f t="shared" si="58"/>
        <v>4</v>
      </c>
      <c r="I225" s="128">
        <f t="shared" si="59"/>
        <v>2</v>
      </c>
      <c r="J225" s="188">
        <f t="shared" si="60"/>
        <v>46238</v>
      </c>
      <c r="K225" s="128" t="str" cm="1">
        <f t="array" ref="K225">IF(AND(I225&lt;7,INDEX(B_tblFTMatrix,$E225,$H225)="x"),"ft","")</f>
        <v/>
      </c>
      <c r="L225" s="128"/>
      <c r="M225" s="128"/>
      <c r="N225" s="128">
        <f t="shared" si="51"/>
        <v>1</v>
      </c>
      <c r="O225" s="128">
        <f t="shared" si="61"/>
        <v>1</v>
      </c>
      <c r="P225" s="227">
        <f t="shared" si="52"/>
        <v>8</v>
      </c>
      <c r="Q225" s="229" cm="1">
        <f t="array" ref="Q225">SUMPRODUCT((H_tblBGTage=I225)*(H_tblBGMnt=E225)*H_tblBG%)</f>
        <v>1</v>
      </c>
      <c r="R225" s="227">
        <f t="shared" si="62"/>
        <v>8</v>
      </c>
      <c r="S225" s="233"/>
      <c r="T225" s="233"/>
      <c r="U225" s="232" cm="1">
        <f t="array" ref="U225">SUMPRODUCT((AOÛ!M_Verweiszeile=$H225)*AOÛ!M_ProdTag*(AOÛ!M_Monat=$E225))</f>
        <v>0</v>
      </c>
      <c r="V225" s="232" cm="1">
        <f t="array" ref="V225">SUMPRODUCT((AOÛ!M_Verweiszeile=$H225)*AOÛ!M_ProdN1*(AOÛ!M_Monat=$E225))</f>
        <v>0</v>
      </c>
      <c r="W225" s="232" cm="1">
        <f t="array" ref="W225">SUMPRODUCT((AOÛ!M_Verweiszeile=$H225)*AOÛ!M_ProdN2*(AOÛ!M_Monat=$E225))</f>
        <v>0</v>
      </c>
      <c r="X225" s="232" cm="1">
        <f t="array" ref="X225">SUMPRODUCT((AOÛ!M_Verweiszeile=$H225)*AOÛ!M_Reise*(AOÛ!M_Monat=$E225))</f>
        <v>0</v>
      </c>
      <c r="Y225" s="232" cm="1">
        <f t="array" ref="Y225">SUMPRODUCT((AOÛ!M_Verweiszeile=$H225)*AOÛ!M_Reiseabzug*(AOÛ!M_Monat=$E225))</f>
        <v>0</v>
      </c>
      <c r="Z225" s="232">
        <f t="shared" si="63"/>
        <v>0</v>
      </c>
      <c r="AA225" s="232">
        <f t="shared" si="53"/>
        <v>0</v>
      </c>
      <c r="AB225" s="232">
        <f t="shared" si="54"/>
        <v>0</v>
      </c>
      <c r="AC225" s="232">
        <f t="shared" si="64"/>
        <v>0</v>
      </c>
      <c r="AD225" s="232">
        <f t="shared" si="65"/>
        <v>0</v>
      </c>
      <c r="AE225" s="232">
        <f t="shared" si="66"/>
        <v>0</v>
      </c>
    </row>
    <row r="226" spans="3:31" s="185" customFormat="1" x14ac:dyDescent="0.2">
      <c r="C226" s="128">
        <v>217</v>
      </c>
      <c r="D226" s="186">
        <f t="shared" si="67"/>
        <v>46239</v>
      </c>
      <c r="E226" s="128">
        <f t="shared" si="55"/>
        <v>8</v>
      </c>
      <c r="F226" s="187">
        <f t="shared" si="56"/>
        <v>46239</v>
      </c>
      <c r="G226" s="128">
        <f t="shared" si="57"/>
        <v>32</v>
      </c>
      <c r="H226" s="128">
        <f t="shared" si="58"/>
        <v>5</v>
      </c>
      <c r="I226" s="128">
        <f t="shared" si="59"/>
        <v>3</v>
      </c>
      <c r="J226" s="188">
        <f t="shared" si="60"/>
        <v>46239</v>
      </c>
      <c r="K226" s="128" t="str" cm="1">
        <f t="array" ref="K226">IF(AND(I226&lt;7,INDEX(B_tblFTMatrix,$E226,$H226)="x"),"ft","")</f>
        <v/>
      </c>
      <c r="L226" s="128"/>
      <c r="M226" s="128"/>
      <c r="N226" s="128">
        <f t="shared" si="51"/>
        <v>1</v>
      </c>
      <c r="O226" s="128">
        <f t="shared" si="61"/>
        <v>1</v>
      </c>
      <c r="P226" s="227">
        <f t="shared" si="52"/>
        <v>8</v>
      </c>
      <c r="Q226" s="229" cm="1">
        <f t="array" ref="Q226">SUMPRODUCT((H_tblBGTage=I226)*(H_tblBGMnt=E226)*H_tblBG%)</f>
        <v>1</v>
      </c>
      <c r="R226" s="227">
        <f t="shared" si="62"/>
        <v>8</v>
      </c>
      <c r="S226" s="233"/>
      <c r="T226" s="233"/>
      <c r="U226" s="232" cm="1">
        <f t="array" ref="U226">SUMPRODUCT((AOÛ!M_Verweiszeile=$H226)*AOÛ!M_ProdTag*(AOÛ!M_Monat=$E226))</f>
        <v>0</v>
      </c>
      <c r="V226" s="232" cm="1">
        <f t="array" ref="V226">SUMPRODUCT((AOÛ!M_Verweiszeile=$H226)*AOÛ!M_ProdN1*(AOÛ!M_Monat=$E226))</f>
        <v>0</v>
      </c>
      <c r="W226" s="232" cm="1">
        <f t="array" ref="W226">SUMPRODUCT((AOÛ!M_Verweiszeile=$H226)*AOÛ!M_ProdN2*(AOÛ!M_Monat=$E226))</f>
        <v>0</v>
      </c>
      <c r="X226" s="232" cm="1">
        <f t="array" ref="X226">SUMPRODUCT((AOÛ!M_Verweiszeile=$H226)*AOÛ!M_Reise*(AOÛ!M_Monat=$E226))</f>
        <v>0</v>
      </c>
      <c r="Y226" s="232" cm="1">
        <f t="array" ref="Y226">SUMPRODUCT((AOÛ!M_Verweiszeile=$H226)*AOÛ!M_Reiseabzug*(AOÛ!M_Monat=$E226))</f>
        <v>0</v>
      </c>
      <c r="Z226" s="232">
        <f t="shared" si="63"/>
        <v>0</v>
      </c>
      <c r="AA226" s="232">
        <f t="shared" si="53"/>
        <v>0</v>
      </c>
      <c r="AB226" s="232">
        <f t="shared" si="54"/>
        <v>0</v>
      </c>
      <c r="AC226" s="232">
        <f t="shared" si="64"/>
        <v>0</v>
      </c>
      <c r="AD226" s="232">
        <f t="shared" si="65"/>
        <v>0</v>
      </c>
      <c r="AE226" s="232">
        <f t="shared" si="66"/>
        <v>0</v>
      </c>
    </row>
    <row r="227" spans="3:31" s="185" customFormat="1" x14ac:dyDescent="0.2">
      <c r="C227" s="128">
        <v>218</v>
      </c>
      <c r="D227" s="186">
        <f t="shared" si="67"/>
        <v>46240</v>
      </c>
      <c r="E227" s="128">
        <f t="shared" si="55"/>
        <v>8</v>
      </c>
      <c r="F227" s="187">
        <f t="shared" si="56"/>
        <v>46240</v>
      </c>
      <c r="G227" s="128">
        <f t="shared" si="57"/>
        <v>32</v>
      </c>
      <c r="H227" s="128">
        <f t="shared" si="58"/>
        <v>6</v>
      </c>
      <c r="I227" s="128">
        <f t="shared" si="59"/>
        <v>4</v>
      </c>
      <c r="J227" s="188">
        <f t="shared" si="60"/>
        <v>46240</v>
      </c>
      <c r="K227" s="128" t="str" cm="1">
        <f t="array" ref="K227">IF(AND(I227&lt;7,INDEX(B_tblFTMatrix,$E227,$H227)="x"),"ft","")</f>
        <v/>
      </c>
      <c r="L227" s="128"/>
      <c r="M227" s="128"/>
      <c r="N227" s="128">
        <f t="shared" si="51"/>
        <v>1</v>
      </c>
      <c r="O227" s="128">
        <f t="shared" si="61"/>
        <v>1</v>
      </c>
      <c r="P227" s="227">
        <f t="shared" si="52"/>
        <v>8</v>
      </c>
      <c r="Q227" s="229" cm="1">
        <f t="array" ref="Q227">SUMPRODUCT((H_tblBGTage=I227)*(H_tblBGMnt=E227)*H_tblBG%)</f>
        <v>1</v>
      </c>
      <c r="R227" s="227">
        <f t="shared" si="62"/>
        <v>8</v>
      </c>
      <c r="S227" s="233"/>
      <c r="T227" s="233"/>
      <c r="U227" s="232" cm="1">
        <f t="array" ref="U227">SUMPRODUCT((AOÛ!M_Verweiszeile=$H227)*AOÛ!M_ProdTag*(AOÛ!M_Monat=$E227))</f>
        <v>0</v>
      </c>
      <c r="V227" s="232" cm="1">
        <f t="array" ref="V227">SUMPRODUCT((AOÛ!M_Verweiszeile=$H227)*AOÛ!M_ProdN1*(AOÛ!M_Monat=$E227))</f>
        <v>0</v>
      </c>
      <c r="W227" s="232" cm="1">
        <f t="array" ref="W227">SUMPRODUCT((AOÛ!M_Verweiszeile=$H227)*AOÛ!M_ProdN2*(AOÛ!M_Monat=$E227))</f>
        <v>0</v>
      </c>
      <c r="X227" s="232" cm="1">
        <f t="array" ref="X227">SUMPRODUCT((AOÛ!M_Verweiszeile=$H227)*AOÛ!M_Reise*(AOÛ!M_Monat=$E227))</f>
        <v>0</v>
      </c>
      <c r="Y227" s="232" cm="1">
        <f t="array" ref="Y227">SUMPRODUCT((AOÛ!M_Verweiszeile=$H227)*AOÛ!M_Reiseabzug*(AOÛ!M_Monat=$E227))</f>
        <v>0</v>
      </c>
      <c r="Z227" s="232">
        <f t="shared" si="63"/>
        <v>0</v>
      </c>
      <c r="AA227" s="232">
        <f t="shared" si="53"/>
        <v>0</v>
      </c>
      <c r="AB227" s="232">
        <f t="shared" si="54"/>
        <v>0</v>
      </c>
      <c r="AC227" s="232">
        <f t="shared" si="64"/>
        <v>0</v>
      </c>
      <c r="AD227" s="232">
        <f t="shared" si="65"/>
        <v>0</v>
      </c>
      <c r="AE227" s="232">
        <f t="shared" si="66"/>
        <v>0</v>
      </c>
    </row>
    <row r="228" spans="3:31" s="185" customFormat="1" x14ac:dyDescent="0.2">
      <c r="C228" s="128">
        <v>219</v>
      </c>
      <c r="D228" s="186">
        <f t="shared" si="67"/>
        <v>46241</v>
      </c>
      <c r="E228" s="128">
        <f t="shared" si="55"/>
        <v>8</v>
      </c>
      <c r="F228" s="187">
        <f t="shared" si="56"/>
        <v>46241</v>
      </c>
      <c r="G228" s="128">
        <f t="shared" si="57"/>
        <v>32</v>
      </c>
      <c r="H228" s="128">
        <f t="shared" si="58"/>
        <v>7</v>
      </c>
      <c r="I228" s="128">
        <f t="shared" si="59"/>
        <v>5</v>
      </c>
      <c r="J228" s="188">
        <f t="shared" si="60"/>
        <v>46241</v>
      </c>
      <c r="K228" s="128" t="str" cm="1">
        <f t="array" ref="K228">IF(AND(I228&lt;7,INDEX(B_tblFTMatrix,$E228,$H228)="x"),"ft","")</f>
        <v/>
      </c>
      <c r="L228" s="128"/>
      <c r="M228" s="128"/>
      <c r="N228" s="128">
        <f t="shared" si="51"/>
        <v>1</v>
      </c>
      <c r="O228" s="128">
        <f t="shared" si="61"/>
        <v>1</v>
      </c>
      <c r="P228" s="227">
        <f t="shared" si="52"/>
        <v>8</v>
      </c>
      <c r="Q228" s="229" cm="1">
        <f t="array" ref="Q228">SUMPRODUCT((H_tblBGTage=I228)*(H_tblBGMnt=E228)*H_tblBG%)</f>
        <v>1</v>
      </c>
      <c r="R228" s="227">
        <f t="shared" si="62"/>
        <v>8</v>
      </c>
      <c r="S228" s="233"/>
      <c r="T228" s="233"/>
      <c r="U228" s="232" cm="1">
        <f t="array" ref="U228">SUMPRODUCT((AOÛ!M_Verweiszeile=$H228)*AOÛ!M_ProdTag*(AOÛ!M_Monat=$E228))</f>
        <v>0</v>
      </c>
      <c r="V228" s="232" cm="1">
        <f t="array" ref="V228">SUMPRODUCT((AOÛ!M_Verweiszeile=$H228)*AOÛ!M_ProdN1*(AOÛ!M_Monat=$E228))</f>
        <v>0</v>
      </c>
      <c r="W228" s="232" cm="1">
        <f t="array" ref="W228">SUMPRODUCT((AOÛ!M_Verweiszeile=$H228)*AOÛ!M_ProdN2*(AOÛ!M_Monat=$E228))</f>
        <v>0</v>
      </c>
      <c r="X228" s="232" cm="1">
        <f t="array" ref="X228">SUMPRODUCT((AOÛ!M_Verweiszeile=$H228)*AOÛ!M_Reise*(AOÛ!M_Monat=$E228))</f>
        <v>0</v>
      </c>
      <c r="Y228" s="232" cm="1">
        <f t="array" ref="Y228">SUMPRODUCT((AOÛ!M_Verweiszeile=$H228)*AOÛ!M_Reiseabzug*(AOÛ!M_Monat=$E228))</f>
        <v>0</v>
      </c>
      <c r="Z228" s="232">
        <f t="shared" si="63"/>
        <v>0</v>
      </c>
      <c r="AA228" s="232">
        <f t="shared" si="53"/>
        <v>0</v>
      </c>
      <c r="AB228" s="232">
        <f t="shared" si="54"/>
        <v>0</v>
      </c>
      <c r="AC228" s="232">
        <f t="shared" si="64"/>
        <v>0</v>
      </c>
      <c r="AD228" s="232">
        <f t="shared" si="65"/>
        <v>0</v>
      </c>
      <c r="AE228" s="232">
        <f t="shared" si="66"/>
        <v>0</v>
      </c>
    </row>
    <row r="229" spans="3:31" s="185" customFormat="1" x14ac:dyDescent="0.2">
      <c r="C229" s="128">
        <v>220</v>
      </c>
      <c r="D229" s="186">
        <f t="shared" si="67"/>
        <v>46242</v>
      </c>
      <c r="E229" s="128">
        <f t="shared" si="55"/>
        <v>8</v>
      </c>
      <c r="F229" s="187">
        <f t="shared" si="56"/>
        <v>46242</v>
      </c>
      <c r="G229" s="128">
        <f t="shared" si="57"/>
        <v>32</v>
      </c>
      <c r="H229" s="128">
        <f t="shared" si="58"/>
        <v>8</v>
      </c>
      <c r="I229" s="128">
        <f t="shared" si="59"/>
        <v>6</v>
      </c>
      <c r="J229" s="188">
        <f t="shared" si="60"/>
        <v>46242</v>
      </c>
      <c r="K229" s="128" t="str" cm="1">
        <f t="array" ref="K229">IF(AND(I229&lt;7,INDEX(B_tblFTMatrix,$E229,$H229)="x"),"ft","")</f>
        <v/>
      </c>
      <c r="L229" s="128"/>
      <c r="M229" s="128"/>
      <c r="N229" s="128">
        <f t="shared" si="51"/>
        <v>0</v>
      </c>
      <c r="O229" s="128">
        <f t="shared" si="61"/>
        <v>0</v>
      </c>
      <c r="P229" s="227">
        <f t="shared" si="52"/>
        <v>0</v>
      </c>
      <c r="Q229" s="229" cm="1">
        <f t="array" ref="Q229">SUMPRODUCT((H_tblBGTage=I229)*(H_tblBGMnt=E229)*H_tblBG%)</f>
        <v>0</v>
      </c>
      <c r="R229" s="227">
        <f t="shared" si="62"/>
        <v>0</v>
      </c>
      <c r="S229" s="233"/>
      <c r="T229" s="233"/>
      <c r="U229" s="232" cm="1">
        <f t="array" ref="U229">SUMPRODUCT((AOÛ!M_Verweiszeile=$H229)*AOÛ!M_ProdTag*(AOÛ!M_Monat=$E229))</f>
        <v>0</v>
      </c>
      <c r="V229" s="232" cm="1">
        <f t="array" ref="V229">SUMPRODUCT((AOÛ!M_Verweiszeile=$H229)*AOÛ!M_ProdN1*(AOÛ!M_Monat=$E229))</f>
        <v>0</v>
      </c>
      <c r="W229" s="232" cm="1">
        <f t="array" ref="W229">SUMPRODUCT((AOÛ!M_Verweiszeile=$H229)*AOÛ!M_ProdN2*(AOÛ!M_Monat=$E229))</f>
        <v>0</v>
      </c>
      <c r="X229" s="232" cm="1">
        <f t="array" ref="X229">SUMPRODUCT((AOÛ!M_Verweiszeile=$H229)*AOÛ!M_Reise*(AOÛ!M_Monat=$E229))</f>
        <v>0</v>
      </c>
      <c r="Y229" s="232" cm="1">
        <f t="array" ref="Y229">SUMPRODUCT((AOÛ!M_Verweiszeile=$H229)*AOÛ!M_Reiseabzug*(AOÛ!M_Monat=$E229))</f>
        <v>0</v>
      </c>
      <c r="Z229" s="232">
        <f t="shared" si="63"/>
        <v>0</v>
      </c>
      <c r="AA229" s="232">
        <f t="shared" si="53"/>
        <v>0</v>
      </c>
      <c r="AB229" s="232">
        <f t="shared" si="54"/>
        <v>0</v>
      </c>
      <c r="AC229" s="232">
        <f t="shared" si="64"/>
        <v>0</v>
      </c>
      <c r="AD229" s="232">
        <f t="shared" si="65"/>
        <v>0</v>
      </c>
      <c r="AE229" s="232">
        <f t="shared" si="66"/>
        <v>0</v>
      </c>
    </row>
    <row r="230" spans="3:31" s="185" customFormat="1" x14ac:dyDescent="0.2">
      <c r="C230" s="128">
        <v>221</v>
      </c>
      <c r="D230" s="186">
        <f t="shared" si="67"/>
        <v>46243</v>
      </c>
      <c r="E230" s="128">
        <f t="shared" si="55"/>
        <v>8</v>
      </c>
      <c r="F230" s="187">
        <f t="shared" si="56"/>
        <v>46243</v>
      </c>
      <c r="G230" s="128">
        <f t="shared" si="57"/>
        <v>32</v>
      </c>
      <c r="H230" s="128">
        <f t="shared" si="58"/>
        <v>9</v>
      </c>
      <c r="I230" s="128">
        <f t="shared" si="59"/>
        <v>7</v>
      </c>
      <c r="J230" s="188">
        <f t="shared" si="60"/>
        <v>46243</v>
      </c>
      <c r="K230" s="128" t="str" cm="1">
        <f t="array" ref="K230">IF(AND(I230&lt;7,INDEX(B_tblFTMatrix,$E230,$H230)="x"),"ft","")</f>
        <v/>
      </c>
      <c r="L230" s="128"/>
      <c r="M230" s="128"/>
      <c r="N230" s="128">
        <f t="shared" si="51"/>
        <v>0</v>
      </c>
      <c r="O230" s="128">
        <f t="shared" si="61"/>
        <v>0</v>
      </c>
      <c r="P230" s="227">
        <f t="shared" si="52"/>
        <v>0</v>
      </c>
      <c r="Q230" s="229" cm="1">
        <f t="array" ref="Q230">SUMPRODUCT((H_tblBGTage=I230)*(H_tblBGMnt=E230)*H_tblBG%)</f>
        <v>0</v>
      </c>
      <c r="R230" s="227">
        <f t="shared" si="62"/>
        <v>0</v>
      </c>
      <c r="S230" s="233"/>
      <c r="T230" s="233"/>
      <c r="U230" s="232" cm="1">
        <f t="array" ref="U230">SUMPRODUCT((AOÛ!M_Verweiszeile=$H230)*AOÛ!M_ProdTag*(AOÛ!M_Monat=$E230))</f>
        <v>0</v>
      </c>
      <c r="V230" s="232" cm="1">
        <f t="array" ref="V230">SUMPRODUCT((AOÛ!M_Verweiszeile=$H230)*AOÛ!M_ProdN1*(AOÛ!M_Monat=$E230))</f>
        <v>0</v>
      </c>
      <c r="W230" s="232" cm="1">
        <f t="array" ref="W230">SUMPRODUCT((AOÛ!M_Verweiszeile=$H230)*AOÛ!M_ProdN2*(AOÛ!M_Monat=$E230))</f>
        <v>0</v>
      </c>
      <c r="X230" s="232" cm="1">
        <f t="array" ref="X230">SUMPRODUCT((AOÛ!M_Verweiszeile=$H230)*AOÛ!M_Reise*(AOÛ!M_Monat=$E230))</f>
        <v>0</v>
      </c>
      <c r="Y230" s="232" cm="1">
        <f t="array" ref="Y230">SUMPRODUCT((AOÛ!M_Verweiszeile=$H230)*AOÛ!M_Reiseabzug*(AOÛ!M_Monat=$E230))</f>
        <v>0</v>
      </c>
      <c r="Z230" s="232">
        <f t="shared" si="63"/>
        <v>0</v>
      </c>
      <c r="AA230" s="232">
        <f t="shared" si="53"/>
        <v>0</v>
      </c>
      <c r="AB230" s="232">
        <f t="shared" si="54"/>
        <v>0</v>
      </c>
      <c r="AC230" s="232">
        <f t="shared" si="64"/>
        <v>0</v>
      </c>
      <c r="AD230" s="232">
        <f t="shared" si="65"/>
        <v>0</v>
      </c>
      <c r="AE230" s="232">
        <f t="shared" si="66"/>
        <v>0</v>
      </c>
    </row>
    <row r="231" spans="3:31" s="185" customFormat="1" x14ac:dyDescent="0.2">
      <c r="C231" s="128">
        <v>222</v>
      </c>
      <c r="D231" s="186">
        <f t="shared" si="67"/>
        <v>46244</v>
      </c>
      <c r="E231" s="128">
        <f t="shared" si="55"/>
        <v>8</v>
      </c>
      <c r="F231" s="187">
        <f t="shared" si="56"/>
        <v>46244</v>
      </c>
      <c r="G231" s="128">
        <f t="shared" si="57"/>
        <v>33</v>
      </c>
      <c r="H231" s="128">
        <f t="shared" si="58"/>
        <v>10</v>
      </c>
      <c r="I231" s="128">
        <f t="shared" si="59"/>
        <v>1</v>
      </c>
      <c r="J231" s="188">
        <f t="shared" si="60"/>
        <v>46244</v>
      </c>
      <c r="K231" s="128" t="str" cm="1">
        <f t="array" ref="K231">IF(AND(I231&lt;7,INDEX(B_tblFTMatrix,$E231,$H231)="x"),"ft","")</f>
        <v/>
      </c>
      <c r="L231" s="128"/>
      <c r="M231" s="128"/>
      <c r="N231" s="128">
        <f t="shared" si="51"/>
        <v>1</v>
      </c>
      <c r="O231" s="128">
        <f t="shared" si="61"/>
        <v>1</v>
      </c>
      <c r="P231" s="227">
        <f t="shared" si="52"/>
        <v>8</v>
      </c>
      <c r="Q231" s="229" cm="1">
        <f t="array" ref="Q231">SUMPRODUCT((H_tblBGTage=I231)*(H_tblBGMnt=E231)*H_tblBG%)</f>
        <v>1</v>
      </c>
      <c r="R231" s="227">
        <f t="shared" si="62"/>
        <v>8</v>
      </c>
      <c r="S231" s="233"/>
      <c r="T231" s="233"/>
      <c r="U231" s="232" cm="1">
        <f t="array" ref="U231">SUMPRODUCT((AOÛ!M_Verweiszeile=$H231)*AOÛ!M_ProdTag*(AOÛ!M_Monat=$E231))</f>
        <v>0</v>
      </c>
      <c r="V231" s="232" cm="1">
        <f t="array" ref="V231">SUMPRODUCT((AOÛ!M_Verweiszeile=$H231)*AOÛ!M_ProdN1*(AOÛ!M_Monat=$E231))</f>
        <v>0</v>
      </c>
      <c r="W231" s="232" cm="1">
        <f t="array" ref="W231">SUMPRODUCT((AOÛ!M_Verweiszeile=$H231)*AOÛ!M_ProdN2*(AOÛ!M_Monat=$E231))</f>
        <v>0</v>
      </c>
      <c r="X231" s="232" cm="1">
        <f t="array" ref="X231">SUMPRODUCT((AOÛ!M_Verweiszeile=$H231)*AOÛ!M_Reise*(AOÛ!M_Monat=$E231))</f>
        <v>0</v>
      </c>
      <c r="Y231" s="232" cm="1">
        <f t="array" ref="Y231">SUMPRODUCT((AOÛ!M_Verweiszeile=$H231)*AOÛ!M_Reiseabzug*(AOÛ!M_Monat=$E231))</f>
        <v>0</v>
      </c>
      <c r="Z231" s="232">
        <f t="shared" si="63"/>
        <v>0</v>
      </c>
      <c r="AA231" s="232">
        <f t="shared" si="53"/>
        <v>0</v>
      </c>
      <c r="AB231" s="232">
        <f t="shared" si="54"/>
        <v>0</v>
      </c>
      <c r="AC231" s="232">
        <f t="shared" si="64"/>
        <v>0</v>
      </c>
      <c r="AD231" s="232">
        <f t="shared" si="65"/>
        <v>0</v>
      </c>
      <c r="AE231" s="232">
        <f t="shared" si="66"/>
        <v>0</v>
      </c>
    </row>
    <row r="232" spans="3:31" s="185" customFormat="1" x14ac:dyDescent="0.2">
      <c r="C232" s="128">
        <v>223</v>
      </c>
      <c r="D232" s="186">
        <f t="shared" si="67"/>
        <v>46245</v>
      </c>
      <c r="E232" s="128">
        <f t="shared" si="55"/>
        <v>8</v>
      </c>
      <c r="F232" s="187">
        <f t="shared" si="56"/>
        <v>46245</v>
      </c>
      <c r="G232" s="128">
        <f t="shared" si="57"/>
        <v>33</v>
      </c>
      <c r="H232" s="128">
        <f t="shared" si="58"/>
        <v>11</v>
      </c>
      <c r="I232" s="128">
        <f t="shared" si="59"/>
        <v>2</v>
      </c>
      <c r="J232" s="188">
        <f t="shared" si="60"/>
        <v>46245</v>
      </c>
      <c r="K232" s="128" t="str" cm="1">
        <f t="array" ref="K232">IF(AND(I232&lt;7,INDEX(B_tblFTMatrix,$E232,$H232)="x"),"ft","")</f>
        <v/>
      </c>
      <c r="L232" s="128"/>
      <c r="M232" s="128"/>
      <c r="N232" s="128">
        <f t="shared" si="51"/>
        <v>1</v>
      </c>
      <c r="O232" s="128">
        <f t="shared" si="61"/>
        <v>1</v>
      </c>
      <c r="P232" s="227">
        <f t="shared" si="52"/>
        <v>8</v>
      </c>
      <c r="Q232" s="229" cm="1">
        <f t="array" ref="Q232">SUMPRODUCT((H_tblBGTage=I232)*(H_tblBGMnt=E232)*H_tblBG%)</f>
        <v>1</v>
      </c>
      <c r="R232" s="227">
        <f t="shared" si="62"/>
        <v>8</v>
      </c>
      <c r="S232" s="233"/>
      <c r="T232" s="233"/>
      <c r="U232" s="232" cm="1">
        <f t="array" ref="U232">SUMPRODUCT((AOÛ!M_Verweiszeile=$H232)*AOÛ!M_ProdTag*(AOÛ!M_Monat=$E232))</f>
        <v>0</v>
      </c>
      <c r="V232" s="232" cm="1">
        <f t="array" ref="V232">SUMPRODUCT((AOÛ!M_Verweiszeile=$H232)*AOÛ!M_ProdN1*(AOÛ!M_Monat=$E232))</f>
        <v>0</v>
      </c>
      <c r="W232" s="232" cm="1">
        <f t="array" ref="W232">SUMPRODUCT((AOÛ!M_Verweiszeile=$H232)*AOÛ!M_ProdN2*(AOÛ!M_Monat=$E232))</f>
        <v>0</v>
      </c>
      <c r="X232" s="232" cm="1">
        <f t="array" ref="X232">SUMPRODUCT((AOÛ!M_Verweiszeile=$H232)*AOÛ!M_Reise*(AOÛ!M_Monat=$E232))</f>
        <v>0</v>
      </c>
      <c r="Y232" s="232" cm="1">
        <f t="array" ref="Y232">SUMPRODUCT((AOÛ!M_Verweiszeile=$H232)*AOÛ!M_Reiseabzug*(AOÛ!M_Monat=$E232))</f>
        <v>0</v>
      </c>
      <c r="Z232" s="232">
        <f t="shared" si="63"/>
        <v>0</v>
      </c>
      <c r="AA232" s="232">
        <f t="shared" si="53"/>
        <v>0</v>
      </c>
      <c r="AB232" s="232">
        <f t="shared" si="54"/>
        <v>0</v>
      </c>
      <c r="AC232" s="232">
        <f t="shared" si="64"/>
        <v>0</v>
      </c>
      <c r="AD232" s="232">
        <f t="shared" si="65"/>
        <v>0</v>
      </c>
      <c r="AE232" s="232">
        <f t="shared" si="66"/>
        <v>0</v>
      </c>
    </row>
    <row r="233" spans="3:31" s="185" customFormat="1" x14ac:dyDescent="0.2">
      <c r="C233" s="128">
        <v>224</v>
      </c>
      <c r="D233" s="186">
        <f t="shared" si="67"/>
        <v>46246</v>
      </c>
      <c r="E233" s="128">
        <f t="shared" si="55"/>
        <v>8</v>
      </c>
      <c r="F233" s="187">
        <f t="shared" si="56"/>
        <v>46246</v>
      </c>
      <c r="G233" s="128">
        <f t="shared" si="57"/>
        <v>33</v>
      </c>
      <c r="H233" s="128">
        <f t="shared" si="58"/>
        <v>12</v>
      </c>
      <c r="I233" s="128">
        <f t="shared" si="59"/>
        <v>3</v>
      </c>
      <c r="J233" s="188">
        <f t="shared" si="60"/>
        <v>46246</v>
      </c>
      <c r="K233" s="128" t="str" cm="1">
        <f t="array" ref="K233">IF(AND(I233&lt;7,INDEX(B_tblFTMatrix,$E233,$H233)="x"),"ft","")</f>
        <v/>
      </c>
      <c r="L233" s="128"/>
      <c r="M233" s="128"/>
      <c r="N233" s="128">
        <f t="shared" si="51"/>
        <v>1</v>
      </c>
      <c r="O233" s="128">
        <f t="shared" si="61"/>
        <v>1</v>
      </c>
      <c r="P233" s="227">
        <f t="shared" si="52"/>
        <v>8</v>
      </c>
      <c r="Q233" s="229" cm="1">
        <f t="array" ref="Q233">SUMPRODUCT((H_tblBGTage=I233)*(H_tblBGMnt=E233)*H_tblBG%)</f>
        <v>1</v>
      </c>
      <c r="R233" s="227">
        <f t="shared" si="62"/>
        <v>8</v>
      </c>
      <c r="S233" s="233"/>
      <c r="T233" s="233"/>
      <c r="U233" s="232" cm="1">
        <f t="array" ref="U233">SUMPRODUCT((AOÛ!M_Verweiszeile=$H233)*AOÛ!M_ProdTag*(AOÛ!M_Monat=$E233))</f>
        <v>0</v>
      </c>
      <c r="V233" s="232" cm="1">
        <f t="array" ref="V233">SUMPRODUCT((AOÛ!M_Verweiszeile=$H233)*AOÛ!M_ProdN1*(AOÛ!M_Monat=$E233))</f>
        <v>0</v>
      </c>
      <c r="W233" s="232" cm="1">
        <f t="array" ref="W233">SUMPRODUCT((AOÛ!M_Verweiszeile=$H233)*AOÛ!M_ProdN2*(AOÛ!M_Monat=$E233))</f>
        <v>0</v>
      </c>
      <c r="X233" s="232" cm="1">
        <f t="array" ref="X233">SUMPRODUCT((AOÛ!M_Verweiszeile=$H233)*AOÛ!M_Reise*(AOÛ!M_Monat=$E233))</f>
        <v>0</v>
      </c>
      <c r="Y233" s="232" cm="1">
        <f t="array" ref="Y233">SUMPRODUCT((AOÛ!M_Verweiszeile=$H233)*AOÛ!M_Reiseabzug*(AOÛ!M_Monat=$E233))</f>
        <v>0</v>
      </c>
      <c r="Z233" s="232">
        <f t="shared" si="63"/>
        <v>0</v>
      </c>
      <c r="AA233" s="232">
        <f t="shared" si="53"/>
        <v>0</v>
      </c>
      <c r="AB233" s="232">
        <f t="shared" si="54"/>
        <v>0</v>
      </c>
      <c r="AC233" s="232">
        <f t="shared" si="64"/>
        <v>0</v>
      </c>
      <c r="AD233" s="232">
        <f t="shared" si="65"/>
        <v>0</v>
      </c>
      <c r="AE233" s="232">
        <f t="shared" si="66"/>
        <v>0</v>
      </c>
    </row>
    <row r="234" spans="3:31" s="185" customFormat="1" x14ac:dyDescent="0.2">
      <c r="C234" s="128">
        <v>225</v>
      </c>
      <c r="D234" s="186">
        <f t="shared" si="67"/>
        <v>46247</v>
      </c>
      <c r="E234" s="128">
        <f t="shared" si="55"/>
        <v>8</v>
      </c>
      <c r="F234" s="187">
        <f t="shared" si="56"/>
        <v>46247</v>
      </c>
      <c r="G234" s="128">
        <f t="shared" si="57"/>
        <v>33</v>
      </c>
      <c r="H234" s="128">
        <f t="shared" si="58"/>
        <v>13</v>
      </c>
      <c r="I234" s="128">
        <f t="shared" si="59"/>
        <v>4</v>
      </c>
      <c r="J234" s="188">
        <f t="shared" si="60"/>
        <v>46247</v>
      </c>
      <c r="K234" s="128" t="str" cm="1">
        <f t="array" ref="K234">IF(AND(I234&lt;7,INDEX(B_tblFTMatrix,$E234,$H234)="x"),"ft","")</f>
        <v/>
      </c>
      <c r="L234" s="128"/>
      <c r="M234" s="128"/>
      <c r="N234" s="128">
        <f t="shared" si="51"/>
        <v>1</v>
      </c>
      <c r="O234" s="128">
        <f t="shared" si="61"/>
        <v>1</v>
      </c>
      <c r="P234" s="227">
        <f t="shared" si="52"/>
        <v>8</v>
      </c>
      <c r="Q234" s="229" cm="1">
        <f t="array" ref="Q234">SUMPRODUCT((H_tblBGTage=I234)*(H_tblBGMnt=E234)*H_tblBG%)</f>
        <v>1</v>
      </c>
      <c r="R234" s="227">
        <f t="shared" si="62"/>
        <v>8</v>
      </c>
      <c r="S234" s="233"/>
      <c r="T234" s="233"/>
      <c r="U234" s="232" cm="1">
        <f t="array" ref="U234">SUMPRODUCT((AOÛ!M_Verweiszeile=$H234)*AOÛ!M_ProdTag*(AOÛ!M_Monat=$E234))</f>
        <v>0</v>
      </c>
      <c r="V234" s="232" cm="1">
        <f t="array" ref="V234">SUMPRODUCT((AOÛ!M_Verweiszeile=$H234)*AOÛ!M_ProdN1*(AOÛ!M_Monat=$E234))</f>
        <v>0</v>
      </c>
      <c r="W234" s="232" cm="1">
        <f t="array" ref="W234">SUMPRODUCT((AOÛ!M_Verweiszeile=$H234)*AOÛ!M_ProdN2*(AOÛ!M_Monat=$E234))</f>
        <v>0</v>
      </c>
      <c r="X234" s="232" cm="1">
        <f t="array" ref="X234">SUMPRODUCT((AOÛ!M_Verweiszeile=$H234)*AOÛ!M_Reise*(AOÛ!M_Monat=$E234))</f>
        <v>0</v>
      </c>
      <c r="Y234" s="232" cm="1">
        <f t="array" ref="Y234">SUMPRODUCT((AOÛ!M_Verweiszeile=$H234)*AOÛ!M_Reiseabzug*(AOÛ!M_Monat=$E234))</f>
        <v>0</v>
      </c>
      <c r="Z234" s="232">
        <f t="shared" si="63"/>
        <v>0</v>
      </c>
      <c r="AA234" s="232">
        <f t="shared" si="53"/>
        <v>0</v>
      </c>
      <c r="AB234" s="232">
        <f t="shared" si="54"/>
        <v>0</v>
      </c>
      <c r="AC234" s="232">
        <f t="shared" si="64"/>
        <v>0</v>
      </c>
      <c r="AD234" s="232">
        <f t="shared" si="65"/>
        <v>0</v>
      </c>
      <c r="AE234" s="232">
        <f t="shared" si="66"/>
        <v>0</v>
      </c>
    </row>
    <row r="235" spans="3:31" s="185" customFormat="1" x14ac:dyDescent="0.2">
      <c r="C235" s="128">
        <v>226</v>
      </c>
      <c r="D235" s="186">
        <f t="shared" si="67"/>
        <v>46248</v>
      </c>
      <c r="E235" s="128">
        <f t="shared" si="55"/>
        <v>8</v>
      </c>
      <c r="F235" s="187">
        <f t="shared" si="56"/>
        <v>46248</v>
      </c>
      <c r="G235" s="128">
        <f t="shared" si="57"/>
        <v>33</v>
      </c>
      <c r="H235" s="128">
        <f t="shared" si="58"/>
        <v>14</v>
      </c>
      <c r="I235" s="128">
        <f t="shared" si="59"/>
        <v>5</v>
      </c>
      <c r="J235" s="188">
        <f t="shared" si="60"/>
        <v>46248</v>
      </c>
      <c r="K235" s="128" t="str" cm="1">
        <f t="array" ref="K235">IF(AND(I235&lt;7,INDEX(B_tblFTMatrix,$E235,$H235)="x"),"ft","")</f>
        <v/>
      </c>
      <c r="L235" s="128"/>
      <c r="M235" s="128"/>
      <c r="N235" s="128">
        <f t="shared" si="51"/>
        <v>1</v>
      </c>
      <c r="O235" s="128">
        <f t="shared" si="61"/>
        <v>1</v>
      </c>
      <c r="P235" s="227">
        <f t="shared" si="52"/>
        <v>8</v>
      </c>
      <c r="Q235" s="229" cm="1">
        <f t="array" ref="Q235">SUMPRODUCT((H_tblBGTage=I235)*(H_tblBGMnt=E235)*H_tblBG%)</f>
        <v>1</v>
      </c>
      <c r="R235" s="227">
        <f t="shared" si="62"/>
        <v>8</v>
      </c>
      <c r="S235" s="233"/>
      <c r="T235" s="233"/>
      <c r="U235" s="232" cm="1">
        <f t="array" ref="U235">SUMPRODUCT((AOÛ!M_Verweiszeile=$H235)*AOÛ!M_ProdTag*(AOÛ!M_Monat=$E235))</f>
        <v>0</v>
      </c>
      <c r="V235" s="232" cm="1">
        <f t="array" ref="V235">SUMPRODUCT((AOÛ!M_Verweiszeile=$H235)*AOÛ!M_ProdN1*(AOÛ!M_Monat=$E235))</f>
        <v>0</v>
      </c>
      <c r="W235" s="232" cm="1">
        <f t="array" ref="W235">SUMPRODUCT((AOÛ!M_Verweiszeile=$H235)*AOÛ!M_ProdN2*(AOÛ!M_Monat=$E235))</f>
        <v>0</v>
      </c>
      <c r="X235" s="232" cm="1">
        <f t="array" ref="X235">SUMPRODUCT((AOÛ!M_Verweiszeile=$H235)*AOÛ!M_Reise*(AOÛ!M_Monat=$E235))</f>
        <v>0</v>
      </c>
      <c r="Y235" s="232" cm="1">
        <f t="array" ref="Y235">SUMPRODUCT((AOÛ!M_Verweiszeile=$H235)*AOÛ!M_Reiseabzug*(AOÛ!M_Monat=$E235))</f>
        <v>0</v>
      </c>
      <c r="Z235" s="232">
        <f t="shared" si="63"/>
        <v>0</v>
      </c>
      <c r="AA235" s="232">
        <f t="shared" si="53"/>
        <v>0</v>
      </c>
      <c r="AB235" s="232">
        <f t="shared" si="54"/>
        <v>0</v>
      </c>
      <c r="AC235" s="232">
        <f t="shared" si="64"/>
        <v>0</v>
      </c>
      <c r="AD235" s="232">
        <f t="shared" si="65"/>
        <v>0</v>
      </c>
      <c r="AE235" s="232">
        <f t="shared" si="66"/>
        <v>0</v>
      </c>
    </row>
    <row r="236" spans="3:31" s="185" customFormat="1" x14ac:dyDescent="0.2">
      <c r="C236" s="128">
        <v>227</v>
      </c>
      <c r="D236" s="186">
        <f t="shared" si="67"/>
        <v>46249</v>
      </c>
      <c r="E236" s="128">
        <f t="shared" si="55"/>
        <v>8</v>
      </c>
      <c r="F236" s="187">
        <f t="shared" si="56"/>
        <v>46249</v>
      </c>
      <c r="G236" s="128">
        <f t="shared" si="57"/>
        <v>33</v>
      </c>
      <c r="H236" s="128">
        <f t="shared" si="58"/>
        <v>15</v>
      </c>
      <c r="I236" s="128">
        <f t="shared" si="59"/>
        <v>6</v>
      </c>
      <c r="J236" s="188">
        <f t="shared" si="60"/>
        <v>46249</v>
      </c>
      <c r="K236" s="128" t="str" cm="1">
        <f t="array" ref="K236">IF(AND(I236&lt;7,INDEX(B_tblFTMatrix,$E236,$H236)="x"),"ft","")</f>
        <v/>
      </c>
      <c r="L236" s="128"/>
      <c r="M236" s="128"/>
      <c r="N236" s="128">
        <f t="shared" si="51"/>
        <v>0</v>
      </c>
      <c r="O236" s="128">
        <f t="shared" si="61"/>
        <v>0</v>
      </c>
      <c r="P236" s="227">
        <f t="shared" si="52"/>
        <v>0</v>
      </c>
      <c r="Q236" s="229" cm="1">
        <f t="array" ref="Q236">SUMPRODUCT((H_tblBGTage=I236)*(H_tblBGMnt=E236)*H_tblBG%)</f>
        <v>0</v>
      </c>
      <c r="R236" s="227">
        <f t="shared" si="62"/>
        <v>0</v>
      </c>
      <c r="S236" s="233"/>
      <c r="T236" s="233"/>
      <c r="U236" s="232" cm="1">
        <f t="array" ref="U236">SUMPRODUCT((AOÛ!M_Verweiszeile=$H236)*AOÛ!M_ProdTag*(AOÛ!M_Monat=$E236))</f>
        <v>0</v>
      </c>
      <c r="V236" s="232" cm="1">
        <f t="array" ref="V236">SUMPRODUCT((AOÛ!M_Verweiszeile=$H236)*AOÛ!M_ProdN1*(AOÛ!M_Monat=$E236))</f>
        <v>0</v>
      </c>
      <c r="W236" s="232" cm="1">
        <f t="array" ref="W236">SUMPRODUCT((AOÛ!M_Verweiszeile=$H236)*AOÛ!M_ProdN2*(AOÛ!M_Monat=$E236))</f>
        <v>0</v>
      </c>
      <c r="X236" s="232" cm="1">
        <f t="array" ref="X236">SUMPRODUCT((AOÛ!M_Verweiszeile=$H236)*AOÛ!M_Reise*(AOÛ!M_Monat=$E236))</f>
        <v>0</v>
      </c>
      <c r="Y236" s="232" cm="1">
        <f t="array" ref="Y236">SUMPRODUCT((AOÛ!M_Verweiszeile=$H236)*AOÛ!M_Reiseabzug*(AOÛ!M_Monat=$E236))</f>
        <v>0</v>
      </c>
      <c r="Z236" s="232">
        <f t="shared" si="63"/>
        <v>0</v>
      </c>
      <c r="AA236" s="232">
        <f t="shared" si="53"/>
        <v>0</v>
      </c>
      <c r="AB236" s="232">
        <f t="shared" si="54"/>
        <v>0</v>
      </c>
      <c r="AC236" s="232">
        <f t="shared" si="64"/>
        <v>0</v>
      </c>
      <c r="AD236" s="232">
        <f t="shared" si="65"/>
        <v>0</v>
      </c>
      <c r="AE236" s="232">
        <f t="shared" si="66"/>
        <v>0</v>
      </c>
    </row>
    <row r="237" spans="3:31" s="185" customFormat="1" x14ac:dyDescent="0.2">
      <c r="C237" s="128">
        <v>228</v>
      </c>
      <c r="D237" s="186">
        <f t="shared" si="67"/>
        <v>46250</v>
      </c>
      <c r="E237" s="128">
        <f t="shared" si="55"/>
        <v>8</v>
      </c>
      <c r="F237" s="187">
        <f t="shared" si="56"/>
        <v>46250</v>
      </c>
      <c r="G237" s="128">
        <f t="shared" si="57"/>
        <v>33</v>
      </c>
      <c r="H237" s="128">
        <f t="shared" si="58"/>
        <v>16</v>
      </c>
      <c r="I237" s="128">
        <f t="shared" si="59"/>
        <v>7</v>
      </c>
      <c r="J237" s="188">
        <f t="shared" si="60"/>
        <v>46250</v>
      </c>
      <c r="K237" s="128" t="str" cm="1">
        <f t="array" ref="K237">IF(AND(I237&lt;7,INDEX(B_tblFTMatrix,$E237,$H237)="x"),"ft","")</f>
        <v/>
      </c>
      <c r="L237" s="128"/>
      <c r="M237" s="128"/>
      <c r="N237" s="128">
        <f t="shared" si="51"/>
        <v>0</v>
      </c>
      <c r="O237" s="128">
        <f t="shared" si="61"/>
        <v>0</v>
      </c>
      <c r="P237" s="227">
        <f t="shared" si="52"/>
        <v>0</v>
      </c>
      <c r="Q237" s="229" cm="1">
        <f t="array" ref="Q237">SUMPRODUCT((H_tblBGTage=I237)*(H_tblBGMnt=E237)*H_tblBG%)</f>
        <v>0</v>
      </c>
      <c r="R237" s="227">
        <f t="shared" si="62"/>
        <v>0</v>
      </c>
      <c r="S237" s="233"/>
      <c r="T237" s="233"/>
      <c r="U237" s="232" cm="1">
        <f t="array" ref="U237">SUMPRODUCT((AOÛ!M_Verweiszeile=$H237)*AOÛ!M_ProdTag*(AOÛ!M_Monat=$E237))</f>
        <v>0</v>
      </c>
      <c r="V237" s="232" cm="1">
        <f t="array" ref="V237">SUMPRODUCT((AOÛ!M_Verweiszeile=$H237)*AOÛ!M_ProdN1*(AOÛ!M_Monat=$E237))</f>
        <v>0</v>
      </c>
      <c r="W237" s="232" cm="1">
        <f t="array" ref="W237">SUMPRODUCT((AOÛ!M_Verweiszeile=$H237)*AOÛ!M_ProdN2*(AOÛ!M_Monat=$E237))</f>
        <v>0</v>
      </c>
      <c r="X237" s="232" cm="1">
        <f t="array" ref="X237">SUMPRODUCT((AOÛ!M_Verweiszeile=$H237)*AOÛ!M_Reise*(AOÛ!M_Monat=$E237))</f>
        <v>0</v>
      </c>
      <c r="Y237" s="232" cm="1">
        <f t="array" ref="Y237">SUMPRODUCT((AOÛ!M_Verweiszeile=$H237)*AOÛ!M_Reiseabzug*(AOÛ!M_Monat=$E237))</f>
        <v>0</v>
      </c>
      <c r="Z237" s="232">
        <f t="shared" si="63"/>
        <v>0</v>
      </c>
      <c r="AA237" s="232">
        <f t="shared" si="53"/>
        <v>0</v>
      </c>
      <c r="AB237" s="232">
        <f t="shared" si="54"/>
        <v>0</v>
      </c>
      <c r="AC237" s="232">
        <f t="shared" si="64"/>
        <v>0</v>
      </c>
      <c r="AD237" s="232">
        <f t="shared" si="65"/>
        <v>0</v>
      </c>
      <c r="AE237" s="232">
        <f t="shared" si="66"/>
        <v>0</v>
      </c>
    </row>
    <row r="238" spans="3:31" s="185" customFormat="1" x14ac:dyDescent="0.2">
      <c r="C238" s="128">
        <v>229</v>
      </c>
      <c r="D238" s="186">
        <f t="shared" si="67"/>
        <v>46251</v>
      </c>
      <c r="E238" s="128">
        <f t="shared" si="55"/>
        <v>8</v>
      </c>
      <c r="F238" s="187">
        <f t="shared" si="56"/>
        <v>46251</v>
      </c>
      <c r="G238" s="128">
        <f t="shared" si="57"/>
        <v>34</v>
      </c>
      <c r="H238" s="128">
        <f t="shared" si="58"/>
        <v>17</v>
      </c>
      <c r="I238" s="128">
        <f t="shared" si="59"/>
        <v>1</v>
      </c>
      <c r="J238" s="188">
        <f t="shared" si="60"/>
        <v>46251</v>
      </c>
      <c r="K238" s="128" t="str" cm="1">
        <f t="array" ref="K238">IF(AND(I238&lt;7,INDEX(B_tblFTMatrix,$E238,$H238)="x"),"ft","")</f>
        <v/>
      </c>
      <c r="L238" s="128"/>
      <c r="M238" s="128"/>
      <c r="N238" s="128">
        <f t="shared" si="51"/>
        <v>1</v>
      </c>
      <c r="O238" s="128">
        <f t="shared" si="61"/>
        <v>1</v>
      </c>
      <c r="P238" s="227">
        <f t="shared" si="52"/>
        <v>8</v>
      </c>
      <c r="Q238" s="229" cm="1">
        <f t="array" ref="Q238">SUMPRODUCT((H_tblBGTage=I238)*(H_tblBGMnt=E238)*H_tblBG%)</f>
        <v>1</v>
      </c>
      <c r="R238" s="227">
        <f t="shared" si="62"/>
        <v>8</v>
      </c>
      <c r="S238" s="233"/>
      <c r="T238" s="233"/>
      <c r="U238" s="232" cm="1">
        <f t="array" ref="U238">SUMPRODUCT((AOÛ!M_Verweiszeile=$H238)*AOÛ!M_ProdTag*(AOÛ!M_Monat=$E238))</f>
        <v>0</v>
      </c>
      <c r="V238" s="232" cm="1">
        <f t="array" ref="V238">SUMPRODUCT((AOÛ!M_Verweiszeile=$H238)*AOÛ!M_ProdN1*(AOÛ!M_Monat=$E238))</f>
        <v>0</v>
      </c>
      <c r="W238" s="232" cm="1">
        <f t="array" ref="W238">SUMPRODUCT((AOÛ!M_Verweiszeile=$H238)*AOÛ!M_ProdN2*(AOÛ!M_Monat=$E238))</f>
        <v>0</v>
      </c>
      <c r="X238" s="232" cm="1">
        <f t="array" ref="X238">SUMPRODUCT((AOÛ!M_Verweiszeile=$H238)*AOÛ!M_Reise*(AOÛ!M_Monat=$E238))</f>
        <v>0</v>
      </c>
      <c r="Y238" s="232" cm="1">
        <f t="array" ref="Y238">SUMPRODUCT((AOÛ!M_Verweiszeile=$H238)*AOÛ!M_Reiseabzug*(AOÛ!M_Monat=$E238))</f>
        <v>0</v>
      </c>
      <c r="Z238" s="232">
        <f t="shared" si="63"/>
        <v>0</v>
      </c>
      <c r="AA238" s="232">
        <f t="shared" si="53"/>
        <v>0</v>
      </c>
      <c r="AB238" s="232">
        <f t="shared" si="54"/>
        <v>0</v>
      </c>
      <c r="AC238" s="232">
        <f t="shared" si="64"/>
        <v>0</v>
      </c>
      <c r="AD238" s="232">
        <f t="shared" si="65"/>
        <v>0</v>
      </c>
      <c r="AE238" s="232">
        <f t="shared" si="66"/>
        <v>0</v>
      </c>
    </row>
    <row r="239" spans="3:31" s="185" customFormat="1" x14ac:dyDescent="0.2">
      <c r="C239" s="128">
        <v>230</v>
      </c>
      <c r="D239" s="186">
        <f t="shared" si="67"/>
        <v>46252</v>
      </c>
      <c r="E239" s="128">
        <f t="shared" si="55"/>
        <v>8</v>
      </c>
      <c r="F239" s="187">
        <f t="shared" si="56"/>
        <v>46252</v>
      </c>
      <c r="G239" s="128">
        <f t="shared" si="57"/>
        <v>34</v>
      </c>
      <c r="H239" s="128">
        <f t="shared" si="58"/>
        <v>18</v>
      </c>
      <c r="I239" s="128">
        <f t="shared" si="59"/>
        <v>2</v>
      </c>
      <c r="J239" s="188">
        <f t="shared" si="60"/>
        <v>46252</v>
      </c>
      <c r="K239" s="128" t="str" cm="1">
        <f t="array" ref="K239">IF(AND(I239&lt;7,INDEX(B_tblFTMatrix,$E239,$H239)="x"),"ft","")</f>
        <v/>
      </c>
      <c r="L239" s="128"/>
      <c r="M239" s="128"/>
      <c r="N239" s="128">
        <f t="shared" si="51"/>
        <v>1</v>
      </c>
      <c r="O239" s="128">
        <f t="shared" si="61"/>
        <v>1</v>
      </c>
      <c r="P239" s="227">
        <f t="shared" si="52"/>
        <v>8</v>
      </c>
      <c r="Q239" s="229" cm="1">
        <f t="array" ref="Q239">SUMPRODUCT((H_tblBGTage=I239)*(H_tblBGMnt=E239)*H_tblBG%)</f>
        <v>1</v>
      </c>
      <c r="R239" s="227">
        <f t="shared" si="62"/>
        <v>8</v>
      </c>
      <c r="S239" s="233"/>
      <c r="T239" s="233"/>
      <c r="U239" s="232" cm="1">
        <f t="array" ref="U239">SUMPRODUCT((AOÛ!M_Verweiszeile=$H239)*AOÛ!M_ProdTag*(AOÛ!M_Monat=$E239))</f>
        <v>0</v>
      </c>
      <c r="V239" s="232" cm="1">
        <f t="array" ref="V239">SUMPRODUCT((AOÛ!M_Verweiszeile=$H239)*AOÛ!M_ProdN1*(AOÛ!M_Monat=$E239))</f>
        <v>0</v>
      </c>
      <c r="W239" s="232" cm="1">
        <f t="array" ref="W239">SUMPRODUCT((AOÛ!M_Verweiszeile=$H239)*AOÛ!M_ProdN2*(AOÛ!M_Monat=$E239))</f>
        <v>0</v>
      </c>
      <c r="X239" s="232" cm="1">
        <f t="array" ref="X239">SUMPRODUCT((AOÛ!M_Verweiszeile=$H239)*AOÛ!M_Reise*(AOÛ!M_Monat=$E239))</f>
        <v>0</v>
      </c>
      <c r="Y239" s="232" cm="1">
        <f t="array" ref="Y239">SUMPRODUCT((AOÛ!M_Verweiszeile=$H239)*AOÛ!M_Reiseabzug*(AOÛ!M_Monat=$E239))</f>
        <v>0</v>
      </c>
      <c r="Z239" s="232">
        <f t="shared" si="63"/>
        <v>0</v>
      </c>
      <c r="AA239" s="232">
        <f t="shared" si="53"/>
        <v>0</v>
      </c>
      <c r="AB239" s="232">
        <f t="shared" si="54"/>
        <v>0</v>
      </c>
      <c r="AC239" s="232">
        <f t="shared" si="64"/>
        <v>0</v>
      </c>
      <c r="AD239" s="232">
        <f t="shared" si="65"/>
        <v>0</v>
      </c>
      <c r="AE239" s="232">
        <f t="shared" si="66"/>
        <v>0</v>
      </c>
    </row>
    <row r="240" spans="3:31" s="185" customFormat="1" x14ac:dyDescent="0.2">
      <c r="C240" s="128">
        <v>231</v>
      </c>
      <c r="D240" s="186">
        <f t="shared" si="67"/>
        <v>46253</v>
      </c>
      <c r="E240" s="128">
        <f t="shared" si="55"/>
        <v>8</v>
      </c>
      <c r="F240" s="187">
        <f t="shared" si="56"/>
        <v>46253</v>
      </c>
      <c r="G240" s="128">
        <f t="shared" si="57"/>
        <v>34</v>
      </c>
      <c r="H240" s="128">
        <f t="shared" si="58"/>
        <v>19</v>
      </c>
      <c r="I240" s="128">
        <f t="shared" si="59"/>
        <v>3</v>
      </c>
      <c r="J240" s="188">
        <f t="shared" si="60"/>
        <v>46253</v>
      </c>
      <c r="K240" s="128" t="str" cm="1">
        <f t="array" ref="K240">IF(AND(I240&lt;7,INDEX(B_tblFTMatrix,$E240,$H240)="x"),"ft","")</f>
        <v/>
      </c>
      <c r="L240" s="128"/>
      <c r="M240" s="128"/>
      <c r="N240" s="128">
        <f t="shared" si="51"/>
        <v>1</v>
      </c>
      <c r="O240" s="128">
        <f t="shared" si="61"/>
        <v>1</v>
      </c>
      <c r="P240" s="227">
        <f t="shared" si="52"/>
        <v>8</v>
      </c>
      <c r="Q240" s="229" cm="1">
        <f t="array" ref="Q240">SUMPRODUCT((H_tblBGTage=I240)*(H_tblBGMnt=E240)*H_tblBG%)</f>
        <v>1</v>
      </c>
      <c r="R240" s="227">
        <f t="shared" si="62"/>
        <v>8</v>
      </c>
      <c r="S240" s="233"/>
      <c r="T240" s="233"/>
      <c r="U240" s="232" cm="1">
        <f t="array" ref="U240">SUMPRODUCT((AOÛ!M_Verweiszeile=$H240)*AOÛ!M_ProdTag*(AOÛ!M_Monat=$E240))</f>
        <v>0</v>
      </c>
      <c r="V240" s="232" cm="1">
        <f t="array" ref="V240">SUMPRODUCT((AOÛ!M_Verweiszeile=$H240)*AOÛ!M_ProdN1*(AOÛ!M_Monat=$E240))</f>
        <v>0</v>
      </c>
      <c r="W240" s="232" cm="1">
        <f t="array" ref="W240">SUMPRODUCT((AOÛ!M_Verweiszeile=$H240)*AOÛ!M_ProdN2*(AOÛ!M_Monat=$E240))</f>
        <v>0</v>
      </c>
      <c r="X240" s="232" cm="1">
        <f t="array" ref="X240">SUMPRODUCT((AOÛ!M_Verweiszeile=$H240)*AOÛ!M_Reise*(AOÛ!M_Monat=$E240))</f>
        <v>0</v>
      </c>
      <c r="Y240" s="232" cm="1">
        <f t="array" ref="Y240">SUMPRODUCT((AOÛ!M_Verweiszeile=$H240)*AOÛ!M_Reiseabzug*(AOÛ!M_Monat=$E240))</f>
        <v>0</v>
      </c>
      <c r="Z240" s="232">
        <f t="shared" si="63"/>
        <v>0</v>
      </c>
      <c r="AA240" s="232">
        <f t="shared" si="53"/>
        <v>0</v>
      </c>
      <c r="AB240" s="232">
        <f t="shared" si="54"/>
        <v>0</v>
      </c>
      <c r="AC240" s="232">
        <f t="shared" si="64"/>
        <v>0</v>
      </c>
      <c r="AD240" s="232">
        <f t="shared" si="65"/>
        <v>0</v>
      </c>
      <c r="AE240" s="232">
        <f t="shared" si="66"/>
        <v>0</v>
      </c>
    </row>
    <row r="241" spans="3:31" s="185" customFormat="1" x14ac:dyDescent="0.2">
      <c r="C241" s="128">
        <v>232</v>
      </c>
      <c r="D241" s="186">
        <f t="shared" si="67"/>
        <v>46254</v>
      </c>
      <c r="E241" s="128">
        <f t="shared" si="55"/>
        <v>8</v>
      </c>
      <c r="F241" s="187">
        <f t="shared" si="56"/>
        <v>46254</v>
      </c>
      <c r="G241" s="128">
        <f t="shared" si="57"/>
        <v>34</v>
      </c>
      <c r="H241" s="128">
        <f t="shared" si="58"/>
        <v>20</v>
      </c>
      <c r="I241" s="128">
        <f t="shared" si="59"/>
        <v>4</v>
      </c>
      <c r="J241" s="188">
        <f t="shared" si="60"/>
        <v>46254</v>
      </c>
      <c r="K241" s="128" t="str" cm="1">
        <f t="array" ref="K241">IF(AND(I241&lt;7,INDEX(B_tblFTMatrix,$E241,$H241)="x"),"ft","")</f>
        <v/>
      </c>
      <c r="L241" s="128"/>
      <c r="M241" s="128"/>
      <c r="N241" s="128">
        <f t="shared" si="51"/>
        <v>1</v>
      </c>
      <c r="O241" s="128">
        <f t="shared" si="61"/>
        <v>1</v>
      </c>
      <c r="P241" s="227">
        <f t="shared" si="52"/>
        <v>8</v>
      </c>
      <c r="Q241" s="229" cm="1">
        <f t="array" ref="Q241">SUMPRODUCT((H_tblBGTage=I241)*(H_tblBGMnt=E241)*H_tblBG%)</f>
        <v>1</v>
      </c>
      <c r="R241" s="227">
        <f t="shared" si="62"/>
        <v>8</v>
      </c>
      <c r="S241" s="233"/>
      <c r="T241" s="233"/>
      <c r="U241" s="232" cm="1">
        <f t="array" ref="U241">SUMPRODUCT((AOÛ!M_Verweiszeile=$H241)*AOÛ!M_ProdTag*(AOÛ!M_Monat=$E241))</f>
        <v>0</v>
      </c>
      <c r="V241" s="232" cm="1">
        <f t="array" ref="V241">SUMPRODUCT((AOÛ!M_Verweiszeile=$H241)*AOÛ!M_ProdN1*(AOÛ!M_Monat=$E241))</f>
        <v>0</v>
      </c>
      <c r="W241" s="232" cm="1">
        <f t="array" ref="W241">SUMPRODUCT((AOÛ!M_Verweiszeile=$H241)*AOÛ!M_ProdN2*(AOÛ!M_Monat=$E241))</f>
        <v>0</v>
      </c>
      <c r="X241" s="232" cm="1">
        <f t="array" ref="X241">SUMPRODUCT((AOÛ!M_Verweiszeile=$H241)*AOÛ!M_Reise*(AOÛ!M_Monat=$E241))</f>
        <v>0</v>
      </c>
      <c r="Y241" s="232" cm="1">
        <f t="array" ref="Y241">SUMPRODUCT((AOÛ!M_Verweiszeile=$H241)*AOÛ!M_Reiseabzug*(AOÛ!M_Monat=$E241))</f>
        <v>0</v>
      </c>
      <c r="Z241" s="232">
        <f t="shared" si="63"/>
        <v>0</v>
      </c>
      <c r="AA241" s="232">
        <f t="shared" si="53"/>
        <v>0</v>
      </c>
      <c r="AB241" s="232">
        <f t="shared" si="54"/>
        <v>0</v>
      </c>
      <c r="AC241" s="232">
        <f t="shared" si="64"/>
        <v>0</v>
      </c>
      <c r="AD241" s="232">
        <f t="shared" si="65"/>
        <v>0</v>
      </c>
      <c r="AE241" s="232">
        <f t="shared" si="66"/>
        <v>0</v>
      </c>
    </row>
    <row r="242" spans="3:31" s="185" customFormat="1" x14ac:dyDescent="0.2">
      <c r="C242" s="128">
        <v>233</v>
      </c>
      <c r="D242" s="186">
        <f t="shared" si="67"/>
        <v>46255</v>
      </c>
      <c r="E242" s="128">
        <f t="shared" si="55"/>
        <v>8</v>
      </c>
      <c r="F242" s="187">
        <f t="shared" si="56"/>
        <v>46255</v>
      </c>
      <c r="G242" s="128">
        <f t="shared" si="57"/>
        <v>34</v>
      </c>
      <c r="H242" s="128">
        <f t="shared" si="58"/>
        <v>21</v>
      </c>
      <c r="I242" s="128">
        <f t="shared" si="59"/>
        <v>5</v>
      </c>
      <c r="J242" s="188">
        <f t="shared" si="60"/>
        <v>46255</v>
      </c>
      <c r="K242" s="128" t="str" cm="1">
        <f t="array" ref="K242">IF(AND(I242&lt;7,INDEX(B_tblFTMatrix,$E242,$H242)="x"),"ft","")</f>
        <v/>
      </c>
      <c r="L242" s="128"/>
      <c r="M242" s="128"/>
      <c r="N242" s="128">
        <f t="shared" si="51"/>
        <v>1</v>
      </c>
      <c r="O242" s="128">
        <f t="shared" si="61"/>
        <v>1</v>
      </c>
      <c r="P242" s="227">
        <f t="shared" si="52"/>
        <v>8</v>
      </c>
      <c r="Q242" s="229" cm="1">
        <f t="array" ref="Q242">SUMPRODUCT((H_tblBGTage=I242)*(H_tblBGMnt=E242)*H_tblBG%)</f>
        <v>1</v>
      </c>
      <c r="R242" s="227">
        <f t="shared" si="62"/>
        <v>8</v>
      </c>
      <c r="S242" s="233"/>
      <c r="T242" s="233"/>
      <c r="U242" s="232" cm="1">
        <f t="array" ref="U242">SUMPRODUCT((AOÛ!M_Verweiszeile=$H242)*AOÛ!M_ProdTag*(AOÛ!M_Monat=$E242))</f>
        <v>0</v>
      </c>
      <c r="V242" s="232" cm="1">
        <f t="array" ref="V242">SUMPRODUCT((AOÛ!M_Verweiszeile=$H242)*AOÛ!M_ProdN1*(AOÛ!M_Monat=$E242))</f>
        <v>0</v>
      </c>
      <c r="W242" s="232" cm="1">
        <f t="array" ref="W242">SUMPRODUCT((AOÛ!M_Verweiszeile=$H242)*AOÛ!M_ProdN2*(AOÛ!M_Monat=$E242))</f>
        <v>0</v>
      </c>
      <c r="X242" s="232" cm="1">
        <f t="array" ref="X242">SUMPRODUCT((AOÛ!M_Verweiszeile=$H242)*AOÛ!M_Reise*(AOÛ!M_Monat=$E242))</f>
        <v>0</v>
      </c>
      <c r="Y242" s="232" cm="1">
        <f t="array" ref="Y242">SUMPRODUCT((AOÛ!M_Verweiszeile=$H242)*AOÛ!M_Reiseabzug*(AOÛ!M_Monat=$E242))</f>
        <v>0</v>
      </c>
      <c r="Z242" s="232">
        <f t="shared" si="63"/>
        <v>0</v>
      </c>
      <c r="AA242" s="232">
        <f t="shared" si="53"/>
        <v>0</v>
      </c>
      <c r="AB242" s="232">
        <f t="shared" si="54"/>
        <v>0</v>
      </c>
      <c r="AC242" s="232">
        <f t="shared" si="64"/>
        <v>0</v>
      </c>
      <c r="AD242" s="232">
        <f t="shared" si="65"/>
        <v>0</v>
      </c>
      <c r="AE242" s="232">
        <f t="shared" si="66"/>
        <v>0</v>
      </c>
    </row>
    <row r="243" spans="3:31" s="185" customFormat="1" x14ac:dyDescent="0.2">
      <c r="C243" s="128">
        <v>234</v>
      </c>
      <c r="D243" s="186">
        <f t="shared" si="67"/>
        <v>46256</v>
      </c>
      <c r="E243" s="128">
        <f t="shared" si="55"/>
        <v>8</v>
      </c>
      <c r="F243" s="187">
        <f t="shared" si="56"/>
        <v>46256</v>
      </c>
      <c r="G243" s="128">
        <f t="shared" si="57"/>
        <v>34</v>
      </c>
      <c r="H243" s="128">
        <f t="shared" si="58"/>
        <v>22</v>
      </c>
      <c r="I243" s="128">
        <f t="shared" si="59"/>
        <v>6</v>
      </c>
      <c r="J243" s="188">
        <f t="shared" si="60"/>
        <v>46256</v>
      </c>
      <c r="K243" s="128" t="str" cm="1">
        <f t="array" ref="K243">IF(AND(I243&lt;7,INDEX(B_tblFTMatrix,$E243,$H243)="x"),"ft","")</f>
        <v/>
      </c>
      <c r="L243" s="128"/>
      <c r="M243" s="128"/>
      <c r="N243" s="128">
        <f t="shared" si="51"/>
        <v>0</v>
      </c>
      <c r="O243" s="128">
        <f t="shared" si="61"/>
        <v>0</v>
      </c>
      <c r="P243" s="227">
        <f t="shared" si="52"/>
        <v>0</v>
      </c>
      <c r="Q243" s="229" cm="1">
        <f t="array" ref="Q243">SUMPRODUCT((H_tblBGTage=I243)*(H_tblBGMnt=E243)*H_tblBG%)</f>
        <v>0</v>
      </c>
      <c r="R243" s="227">
        <f t="shared" si="62"/>
        <v>0</v>
      </c>
      <c r="S243" s="233"/>
      <c r="T243" s="233"/>
      <c r="U243" s="232" cm="1">
        <f t="array" ref="U243">SUMPRODUCT((AOÛ!M_Verweiszeile=$H243)*AOÛ!M_ProdTag*(AOÛ!M_Monat=$E243))</f>
        <v>0</v>
      </c>
      <c r="V243" s="232" cm="1">
        <f t="array" ref="V243">SUMPRODUCT((AOÛ!M_Verweiszeile=$H243)*AOÛ!M_ProdN1*(AOÛ!M_Monat=$E243))</f>
        <v>0</v>
      </c>
      <c r="W243" s="232" cm="1">
        <f t="array" ref="W243">SUMPRODUCT((AOÛ!M_Verweiszeile=$H243)*AOÛ!M_ProdN2*(AOÛ!M_Monat=$E243))</f>
        <v>0</v>
      </c>
      <c r="X243" s="232" cm="1">
        <f t="array" ref="X243">SUMPRODUCT((AOÛ!M_Verweiszeile=$H243)*AOÛ!M_Reise*(AOÛ!M_Monat=$E243))</f>
        <v>0</v>
      </c>
      <c r="Y243" s="232" cm="1">
        <f t="array" ref="Y243">SUMPRODUCT((AOÛ!M_Verweiszeile=$H243)*AOÛ!M_Reiseabzug*(AOÛ!M_Monat=$E243))</f>
        <v>0</v>
      </c>
      <c r="Z243" s="232">
        <f t="shared" si="63"/>
        <v>0</v>
      </c>
      <c r="AA243" s="232">
        <f t="shared" si="53"/>
        <v>0</v>
      </c>
      <c r="AB243" s="232">
        <f t="shared" si="54"/>
        <v>0</v>
      </c>
      <c r="AC243" s="232">
        <f t="shared" si="64"/>
        <v>0</v>
      </c>
      <c r="AD243" s="232">
        <f t="shared" si="65"/>
        <v>0</v>
      </c>
      <c r="AE243" s="232">
        <f t="shared" si="66"/>
        <v>0</v>
      </c>
    </row>
    <row r="244" spans="3:31" s="185" customFormat="1" x14ac:dyDescent="0.2">
      <c r="C244" s="128">
        <v>235</v>
      </c>
      <c r="D244" s="186">
        <f t="shared" si="67"/>
        <v>46257</v>
      </c>
      <c r="E244" s="128">
        <f t="shared" si="55"/>
        <v>8</v>
      </c>
      <c r="F244" s="187">
        <f t="shared" si="56"/>
        <v>46257</v>
      </c>
      <c r="G244" s="128">
        <f t="shared" si="57"/>
        <v>34</v>
      </c>
      <c r="H244" s="128">
        <f t="shared" si="58"/>
        <v>23</v>
      </c>
      <c r="I244" s="128">
        <f t="shared" si="59"/>
        <v>7</v>
      </c>
      <c r="J244" s="188">
        <f t="shared" si="60"/>
        <v>46257</v>
      </c>
      <c r="K244" s="128" t="str" cm="1">
        <f t="array" ref="K244">IF(AND(I244&lt;7,INDEX(B_tblFTMatrix,$E244,$H244)="x"),"ft","")</f>
        <v/>
      </c>
      <c r="L244" s="128"/>
      <c r="M244" s="128"/>
      <c r="N244" s="128">
        <f t="shared" si="51"/>
        <v>0</v>
      </c>
      <c r="O244" s="128">
        <f t="shared" si="61"/>
        <v>0</v>
      </c>
      <c r="P244" s="227">
        <f t="shared" si="52"/>
        <v>0</v>
      </c>
      <c r="Q244" s="229" cm="1">
        <f t="array" ref="Q244">SUMPRODUCT((H_tblBGTage=I244)*(H_tblBGMnt=E244)*H_tblBG%)</f>
        <v>0</v>
      </c>
      <c r="R244" s="227">
        <f t="shared" si="62"/>
        <v>0</v>
      </c>
      <c r="S244" s="233"/>
      <c r="T244" s="233"/>
      <c r="U244" s="232" cm="1">
        <f t="array" ref="U244">SUMPRODUCT((AOÛ!M_Verweiszeile=$H244)*AOÛ!M_ProdTag*(AOÛ!M_Monat=$E244))</f>
        <v>0</v>
      </c>
      <c r="V244" s="232" cm="1">
        <f t="array" ref="V244">SUMPRODUCT((AOÛ!M_Verweiszeile=$H244)*AOÛ!M_ProdN1*(AOÛ!M_Monat=$E244))</f>
        <v>0</v>
      </c>
      <c r="W244" s="232" cm="1">
        <f t="array" ref="W244">SUMPRODUCT((AOÛ!M_Verweiszeile=$H244)*AOÛ!M_ProdN2*(AOÛ!M_Monat=$E244))</f>
        <v>0</v>
      </c>
      <c r="X244" s="232" cm="1">
        <f t="array" ref="X244">SUMPRODUCT((AOÛ!M_Verweiszeile=$H244)*AOÛ!M_Reise*(AOÛ!M_Monat=$E244))</f>
        <v>0</v>
      </c>
      <c r="Y244" s="232" cm="1">
        <f t="array" ref="Y244">SUMPRODUCT((AOÛ!M_Verweiszeile=$H244)*AOÛ!M_Reiseabzug*(AOÛ!M_Monat=$E244))</f>
        <v>0</v>
      </c>
      <c r="Z244" s="232">
        <f t="shared" si="63"/>
        <v>0</v>
      </c>
      <c r="AA244" s="232">
        <f t="shared" si="53"/>
        <v>0</v>
      </c>
      <c r="AB244" s="232">
        <f t="shared" si="54"/>
        <v>0</v>
      </c>
      <c r="AC244" s="232">
        <f t="shared" si="64"/>
        <v>0</v>
      </c>
      <c r="AD244" s="232">
        <f t="shared" si="65"/>
        <v>0</v>
      </c>
      <c r="AE244" s="232">
        <f t="shared" si="66"/>
        <v>0</v>
      </c>
    </row>
    <row r="245" spans="3:31" s="185" customFormat="1" x14ac:dyDescent="0.2">
      <c r="C245" s="128">
        <v>236</v>
      </c>
      <c r="D245" s="186">
        <f t="shared" si="67"/>
        <v>46258</v>
      </c>
      <c r="E245" s="128">
        <f t="shared" si="55"/>
        <v>8</v>
      </c>
      <c r="F245" s="187">
        <f t="shared" si="56"/>
        <v>46258</v>
      </c>
      <c r="G245" s="128">
        <f t="shared" si="57"/>
        <v>35</v>
      </c>
      <c r="H245" s="128">
        <f t="shared" si="58"/>
        <v>24</v>
      </c>
      <c r="I245" s="128">
        <f t="shared" si="59"/>
        <v>1</v>
      </c>
      <c r="J245" s="188">
        <f t="shared" si="60"/>
        <v>46258</v>
      </c>
      <c r="K245" s="128" t="str" cm="1">
        <f t="array" ref="K245">IF(AND(I245&lt;7,INDEX(B_tblFTMatrix,$E245,$H245)="x"),"ft","")</f>
        <v/>
      </c>
      <c r="L245" s="128"/>
      <c r="M245" s="128"/>
      <c r="N245" s="128">
        <f t="shared" si="51"/>
        <v>1</v>
      </c>
      <c r="O245" s="128">
        <f t="shared" si="61"/>
        <v>1</v>
      </c>
      <c r="P245" s="227">
        <f t="shared" si="52"/>
        <v>8</v>
      </c>
      <c r="Q245" s="229" cm="1">
        <f t="array" ref="Q245">SUMPRODUCT((H_tblBGTage=I245)*(H_tblBGMnt=E245)*H_tblBG%)</f>
        <v>1</v>
      </c>
      <c r="R245" s="227">
        <f t="shared" si="62"/>
        <v>8</v>
      </c>
      <c r="S245" s="233"/>
      <c r="T245" s="233"/>
      <c r="U245" s="232" cm="1">
        <f t="array" ref="U245">SUMPRODUCT((AOÛ!M_Verweiszeile=$H245)*AOÛ!M_ProdTag*(AOÛ!M_Monat=$E245))</f>
        <v>0</v>
      </c>
      <c r="V245" s="232" cm="1">
        <f t="array" ref="V245">SUMPRODUCT((AOÛ!M_Verweiszeile=$H245)*AOÛ!M_ProdN1*(AOÛ!M_Monat=$E245))</f>
        <v>0</v>
      </c>
      <c r="W245" s="232" cm="1">
        <f t="array" ref="W245">SUMPRODUCT((AOÛ!M_Verweiszeile=$H245)*AOÛ!M_ProdN2*(AOÛ!M_Monat=$E245))</f>
        <v>0</v>
      </c>
      <c r="X245" s="232" cm="1">
        <f t="array" ref="X245">SUMPRODUCT((AOÛ!M_Verweiszeile=$H245)*AOÛ!M_Reise*(AOÛ!M_Monat=$E245))</f>
        <v>0</v>
      </c>
      <c r="Y245" s="232" cm="1">
        <f t="array" ref="Y245">SUMPRODUCT((AOÛ!M_Verweiszeile=$H245)*AOÛ!M_Reiseabzug*(AOÛ!M_Monat=$E245))</f>
        <v>0</v>
      </c>
      <c r="Z245" s="232">
        <f t="shared" si="63"/>
        <v>0</v>
      </c>
      <c r="AA245" s="232">
        <f t="shared" si="53"/>
        <v>0</v>
      </c>
      <c r="AB245" s="232">
        <f t="shared" si="54"/>
        <v>0</v>
      </c>
      <c r="AC245" s="232">
        <f t="shared" si="64"/>
        <v>0</v>
      </c>
      <c r="AD245" s="232">
        <f t="shared" si="65"/>
        <v>0</v>
      </c>
      <c r="AE245" s="232">
        <f t="shared" si="66"/>
        <v>0</v>
      </c>
    </row>
    <row r="246" spans="3:31" s="185" customFormat="1" x14ac:dyDescent="0.2">
      <c r="C246" s="128">
        <v>237</v>
      </c>
      <c r="D246" s="186">
        <f t="shared" si="67"/>
        <v>46259</v>
      </c>
      <c r="E246" s="128">
        <f t="shared" si="55"/>
        <v>8</v>
      </c>
      <c r="F246" s="187">
        <f t="shared" si="56"/>
        <v>46259</v>
      </c>
      <c r="G246" s="128">
        <f t="shared" si="57"/>
        <v>35</v>
      </c>
      <c r="H246" s="128">
        <f t="shared" si="58"/>
        <v>25</v>
      </c>
      <c r="I246" s="128">
        <f t="shared" si="59"/>
        <v>2</v>
      </c>
      <c r="J246" s="188">
        <f t="shared" si="60"/>
        <v>46259</v>
      </c>
      <c r="K246" s="128" t="str" cm="1">
        <f t="array" ref="K246">IF(AND(I246&lt;7,INDEX(B_tblFTMatrix,$E246,$H246)="x"),"ft","")</f>
        <v/>
      </c>
      <c r="L246" s="128"/>
      <c r="M246" s="128"/>
      <c r="N246" s="128">
        <f t="shared" si="51"/>
        <v>1</v>
      </c>
      <c r="O246" s="128">
        <f t="shared" si="61"/>
        <v>1</v>
      </c>
      <c r="P246" s="227">
        <f t="shared" si="52"/>
        <v>8</v>
      </c>
      <c r="Q246" s="229" cm="1">
        <f t="array" ref="Q246">SUMPRODUCT((H_tblBGTage=I246)*(H_tblBGMnt=E246)*H_tblBG%)</f>
        <v>1</v>
      </c>
      <c r="R246" s="227">
        <f t="shared" si="62"/>
        <v>8</v>
      </c>
      <c r="S246" s="233"/>
      <c r="T246" s="233"/>
      <c r="U246" s="232" cm="1">
        <f t="array" ref="U246">SUMPRODUCT((AOÛ!M_Verweiszeile=$H246)*AOÛ!M_ProdTag*(AOÛ!M_Monat=$E246))</f>
        <v>0</v>
      </c>
      <c r="V246" s="232" cm="1">
        <f t="array" ref="V246">SUMPRODUCT((AOÛ!M_Verweiszeile=$H246)*AOÛ!M_ProdN1*(AOÛ!M_Monat=$E246))</f>
        <v>0</v>
      </c>
      <c r="W246" s="232" cm="1">
        <f t="array" ref="W246">SUMPRODUCT((AOÛ!M_Verweiszeile=$H246)*AOÛ!M_ProdN2*(AOÛ!M_Monat=$E246))</f>
        <v>0</v>
      </c>
      <c r="X246" s="232" cm="1">
        <f t="array" ref="X246">SUMPRODUCT((AOÛ!M_Verweiszeile=$H246)*AOÛ!M_Reise*(AOÛ!M_Monat=$E246))</f>
        <v>0</v>
      </c>
      <c r="Y246" s="232" cm="1">
        <f t="array" ref="Y246">SUMPRODUCT((AOÛ!M_Verweiszeile=$H246)*AOÛ!M_Reiseabzug*(AOÛ!M_Monat=$E246))</f>
        <v>0</v>
      </c>
      <c r="Z246" s="232">
        <f t="shared" si="63"/>
        <v>0</v>
      </c>
      <c r="AA246" s="232">
        <f t="shared" si="53"/>
        <v>0</v>
      </c>
      <c r="AB246" s="232">
        <f t="shared" si="54"/>
        <v>0</v>
      </c>
      <c r="AC246" s="232">
        <f t="shared" si="64"/>
        <v>0</v>
      </c>
      <c r="AD246" s="232">
        <f t="shared" si="65"/>
        <v>0</v>
      </c>
      <c r="AE246" s="232">
        <f t="shared" si="66"/>
        <v>0</v>
      </c>
    </row>
    <row r="247" spans="3:31" s="185" customFormat="1" x14ac:dyDescent="0.2">
      <c r="C247" s="128">
        <v>238</v>
      </c>
      <c r="D247" s="186">
        <f t="shared" si="67"/>
        <v>46260</v>
      </c>
      <c r="E247" s="128">
        <f t="shared" si="55"/>
        <v>8</v>
      </c>
      <c r="F247" s="187">
        <f t="shared" si="56"/>
        <v>46260</v>
      </c>
      <c r="G247" s="128">
        <f t="shared" si="57"/>
        <v>35</v>
      </c>
      <c r="H247" s="128">
        <f t="shared" si="58"/>
        <v>26</v>
      </c>
      <c r="I247" s="128">
        <f t="shared" si="59"/>
        <v>3</v>
      </c>
      <c r="J247" s="188">
        <f t="shared" si="60"/>
        <v>46260</v>
      </c>
      <c r="K247" s="128" t="str" cm="1">
        <f t="array" ref="K247">IF(AND(I247&lt;7,INDEX(B_tblFTMatrix,$E247,$H247)="x"),"ft","")</f>
        <v/>
      </c>
      <c r="L247" s="128"/>
      <c r="M247" s="128"/>
      <c r="N247" s="128">
        <f t="shared" si="51"/>
        <v>1</v>
      </c>
      <c r="O247" s="128">
        <f t="shared" si="61"/>
        <v>1</v>
      </c>
      <c r="P247" s="227">
        <f t="shared" si="52"/>
        <v>8</v>
      </c>
      <c r="Q247" s="229" cm="1">
        <f t="array" ref="Q247">SUMPRODUCT((H_tblBGTage=I247)*(H_tblBGMnt=E247)*H_tblBG%)</f>
        <v>1</v>
      </c>
      <c r="R247" s="227">
        <f t="shared" si="62"/>
        <v>8</v>
      </c>
      <c r="S247" s="233"/>
      <c r="T247" s="233"/>
      <c r="U247" s="232" cm="1">
        <f t="array" ref="U247">SUMPRODUCT((AOÛ!M_Verweiszeile=$H247)*AOÛ!M_ProdTag*(AOÛ!M_Monat=$E247))</f>
        <v>0</v>
      </c>
      <c r="V247" s="232" cm="1">
        <f t="array" ref="V247">SUMPRODUCT((AOÛ!M_Verweiszeile=$H247)*AOÛ!M_ProdN1*(AOÛ!M_Monat=$E247))</f>
        <v>0</v>
      </c>
      <c r="W247" s="232" cm="1">
        <f t="array" ref="W247">SUMPRODUCT((AOÛ!M_Verweiszeile=$H247)*AOÛ!M_ProdN2*(AOÛ!M_Monat=$E247))</f>
        <v>0</v>
      </c>
      <c r="X247" s="232" cm="1">
        <f t="array" ref="X247">SUMPRODUCT((AOÛ!M_Verweiszeile=$H247)*AOÛ!M_Reise*(AOÛ!M_Monat=$E247))</f>
        <v>0</v>
      </c>
      <c r="Y247" s="232" cm="1">
        <f t="array" ref="Y247">SUMPRODUCT((AOÛ!M_Verweiszeile=$H247)*AOÛ!M_Reiseabzug*(AOÛ!M_Monat=$E247))</f>
        <v>0</v>
      </c>
      <c r="Z247" s="232">
        <f t="shared" si="63"/>
        <v>0</v>
      </c>
      <c r="AA247" s="232">
        <f t="shared" si="53"/>
        <v>0</v>
      </c>
      <c r="AB247" s="232">
        <f t="shared" si="54"/>
        <v>0</v>
      </c>
      <c r="AC247" s="232">
        <f t="shared" si="64"/>
        <v>0</v>
      </c>
      <c r="AD247" s="232">
        <f t="shared" si="65"/>
        <v>0</v>
      </c>
      <c r="AE247" s="232">
        <f t="shared" si="66"/>
        <v>0</v>
      </c>
    </row>
    <row r="248" spans="3:31" s="185" customFormat="1" x14ac:dyDescent="0.2">
      <c r="C248" s="128">
        <v>239</v>
      </c>
      <c r="D248" s="186">
        <f t="shared" si="67"/>
        <v>46261</v>
      </c>
      <c r="E248" s="128">
        <f t="shared" si="55"/>
        <v>8</v>
      </c>
      <c r="F248" s="187">
        <f t="shared" si="56"/>
        <v>46261</v>
      </c>
      <c r="G248" s="128">
        <f t="shared" si="57"/>
        <v>35</v>
      </c>
      <c r="H248" s="128">
        <f t="shared" si="58"/>
        <v>27</v>
      </c>
      <c r="I248" s="128">
        <f t="shared" si="59"/>
        <v>4</v>
      </c>
      <c r="J248" s="188">
        <f t="shared" si="60"/>
        <v>46261</v>
      </c>
      <c r="K248" s="128" t="str" cm="1">
        <f t="array" ref="K248">IF(AND(I248&lt;7,INDEX(B_tblFTMatrix,$E248,$H248)="x"),"ft","")</f>
        <v/>
      </c>
      <c r="L248" s="128"/>
      <c r="M248" s="128"/>
      <c r="N248" s="128">
        <f t="shared" si="51"/>
        <v>1</v>
      </c>
      <c r="O248" s="128">
        <f t="shared" si="61"/>
        <v>1</v>
      </c>
      <c r="P248" s="227">
        <f t="shared" si="52"/>
        <v>8</v>
      </c>
      <c r="Q248" s="229" cm="1">
        <f t="array" ref="Q248">SUMPRODUCT((H_tblBGTage=I248)*(H_tblBGMnt=E248)*H_tblBG%)</f>
        <v>1</v>
      </c>
      <c r="R248" s="227">
        <f t="shared" si="62"/>
        <v>8</v>
      </c>
      <c r="S248" s="233"/>
      <c r="T248" s="233"/>
      <c r="U248" s="232" cm="1">
        <f t="array" ref="U248">SUMPRODUCT((AOÛ!M_Verweiszeile=$H248)*AOÛ!M_ProdTag*(AOÛ!M_Monat=$E248))</f>
        <v>0</v>
      </c>
      <c r="V248" s="232" cm="1">
        <f t="array" ref="V248">SUMPRODUCT((AOÛ!M_Verweiszeile=$H248)*AOÛ!M_ProdN1*(AOÛ!M_Monat=$E248))</f>
        <v>0</v>
      </c>
      <c r="W248" s="232" cm="1">
        <f t="array" ref="W248">SUMPRODUCT((AOÛ!M_Verweiszeile=$H248)*AOÛ!M_ProdN2*(AOÛ!M_Monat=$E248))</f>
        <v>0</v>
      </c>
      <c r="X248" s="232" cm="1">
        <f t="array" ref="X248">SUMPRODUCT((AOÛ!M_Verweiszeile=$H248)*AOÛ!M_Reise*(AOÛ!M_Monat=$E248))</f>
        <v>0</v>
      </c>
      <c r="Y248" s="232" cm="1">
        <f t="array" ref="Y248">SUMPRODUCT((AOÛ!M_Verweiszeile=$H248)*AOÛ!M_Reiseabzug*(AOÛ!M_Monat=$E248))</f>
        <v>0</v>
      </c>
      <c r="Z248" s="232">
        <f t="shared" si="63"/>
        <v>0</v>
      </c>
      <c r="AA248" s="232">
        <f t="shared" si="53"/>
        <v>0</v>
      </c>
      <c r="AB248" s="232">
        <f t="shared" si="54"/>
        <v>0</v>
      </c>
      <c r="AC248" s="232">
        <f t="shared" si="64"/>
        <v>0</v>
      </c>
      <c r="AD248" s="232">
        <f t="shared" si="65"/>
        <v>0</v>
      </c>
      <c r="AE248" s="232">
        <f t="shared" si="66"/>
        <v>0</v>
      </c>
    </row>
    <row r="249" spans="3:31" s="185" customFormat="1" x14ac:dyDescent="0.2">
      <c r="C249" s="128">
        <v>240</v>
      </c>
      <c r="D249" s="186">
        <f t="shared" si="67"/>
        <v>46262</v>
      </c>
      <c r="E249" s="128">
        <f t="shared" si="55"/>
        <v>8</v>
      </c>
      <c r="F249" s="187">
        <f t="shared" si="56"/>
        <v>46262</v>
      </c>
      <c r="G249" s="128">
        <f t="shared" si="57"/>
        <v>35</v>
      </c>
      <c r="H249" s="128">
        <f t="shared" si="58"/>
        <v>28</v>
      </c>
      <c r="I249" s="128">
        <f t="shared" si="59"/>
        <v>5</v>
      </c>
      <c r="J249" s="188">
        <f t="shared" si="60"/>
        <v>46262</v>
      </c>
      <c r="K249" s="128" t="str" cm="1">
        <f t="array" ref="K249">IF(AND(I249&lt;7,INDEX(B_tblFTMatrix,$E249,$H249)="x"),"ft","")</f>
        <v/>
      </c>
      <c r="L249" s="128"/>
      <c r="M249" s="128"/>
      <c r="N249" s="128">
        <f t="shared" si="51"/>
        <v>1</v>
      </c>
      <c r="O249" s="128">
        <f t="shared" si="61"/>
        <v>1</v>
      </c>
      <c r="P249" s="227">
        <f t="shared" si="52"/>
        <v>8</v>
      </c>
      <c r="Q249" s="229" cm="1">
        <f t="array" ref="Q249">SUMPRODUCT((H_tblBGTage=I249)*(H_tblBGMnt=E249)*H_tblBG%)</f>
        <v>1</v>
      </c>
      <c r="R249" s="227">
        <f t="shared" si="62"/>
        <v>8</v>
      </c>
      <c r="S249" s="233"/>
      <c r="T249" s="233"/>
      <c r="U249" s="232" cm="1">
        <f t="array" ref="U249">SUMPRODUCT((AOÛ!M_Verweiszeile=$H249)*AOÛ!M_ProdTag*(AOÛ!M_Monat=$E249))</f>
        <v>0</v>
      </c>
      <c r="V249" s="232" cm="1">
        <f t="array" ref="V249">SUMPRODUCT((AOÛ!M_Verweiszeile=$H249)*AOÛ!M_ProdN1*(AOÛ!M_Monat=$E249))</f>
        <v>0</v>
      </c>
      <c r="W249" s="232" cm="1">
        <f t="array" ref="W249">SUMPRODUCT((AOÛ!M_Verweiszeile=$H249)*AOÛ!M_ProdN2*(AOÛ!M_Monat=$E249))</f>
        <v>0</v>
      </c>
      <c r="X249" s="232" cm="1">
        <f t="array" ref="X249">SUMPRODUCT((AOÛ!M_Verweiszeile=$H249)*AOÛ!M_Reise*(AOÛ!M_Monat=$E249))</f>
        <v>0</v>
      </c>
      <c r="Y249" s="232" cm="1">
        <f t="array" ref="Y249">SUMPRODUCT((AOÛ!M_Verweiszeile=$H249)*AOÛ!M_Reiseabzug*(AOÛ!M_Monat=$E249))</f>
        <v>0</v>
      </c>
      <c r="Z249" s="232">
        <f t="shared" si="63"/>
        <v>0</v>
      </c>
      <c r="AA249" s="232">
        <f t="shared" si="53"/>
        <v>0</v>
      </c>
      <c r="AB249" s="232">
        <f t="shared" si="54"/>
        <v>0</v>
      </c>
      <c r="AC249" s="232">
        <f t="shared" si="64"/>
        <v>0</v>
      </c>
      <c r="AD249" s="232">
        <f t="shared" si="65"/>
        <v>0</v>
      </c>
      <c r="AE249" s="232">
        <f t="shared" si="66"/>
        <v>0</v>
      </c>
    </row>
    <row r="250" spans="3:31" s="185" customFormat="1" x14ac:dyDescent="0.2">
      <c r="C250" s="128">
        <v>241</v>
      </c>
      <c r="D250" s="186">
        <f t="shared" si="67"/>
        <v>46263</v>
      </c>
      <c r="E250" s="128">
        <f t="shared" si="55"/>
        <v>8</v>
      </c>
      <c r="F250" s="187">
        <f t="shared" si="56"/>
        <v>46263</v>
      </c>
      <c r="G250" s="128">
        <f t="shared" si="57"/>
        <v>35</v>
      </c>
      <c r="H250" s="128">
        <f t="shared" si="58"/>
        <v>29</v>
      </c>
      <c r="I250" s="128">
        <f t="shared" si="59"/>
        <v>6</v>
      </c>
      <c r="J250" s="188">
        <f t="shared" si="60"/>
        <v>46263</v>
      </c>
      <c r="K250" s="128" t="str" cm="1">
        <f t="array" ref="K250">IF(AND(I250&lt;7,INDEX(B_tblFTMatrix,$E250,$H250)="x"),"ft","")</f>
        <v/>
      </c>
      <c r="L250" s="128"/>
      <c r="M250" s="128"/>
      <c r="N250" s="128">
        <f t="shared" si="51"/>
        <v>0</v>
      </c>
      <c r="O250" s="128">
        <f t="shared" si="61"/>
        <v>0</v>
      </c>
      <c r="P250" s="227">
        <f t="shared" si="52"/>
        <v>0</v>
      </c>
      <c r="Q250" s="229" cm="1">
        <f t="array" ref="Q250">SUMPRODUCT((H_tblBGTage=I250)*(H_tblBGMnt=E250)*H_tblBG%)</f>
        <v>0</v>
      </c>
      <c r="R250" s="227">
        <f t="shared" si="62"/>
        <v>0</v>
      </c>
      <c r="S250" s="233"/>
      <c r="T250" s="233"/>
      <c r="U250" s="232" cm="1">
        <f t="array" ref="U250">SUMPRODUCT((AOÛ!M_Verweiszeile=$H250)*AOÛ!M_ProdTag*(AOÛ!M_Monat=$E250))</f>
        <v>0</v>
      </c>
      <c r="V250" s="232" cm="1">
        <f t="array" ref="V250">SUMPRODUCT((AOÛ!M_Verweiszeile=$H250)*AOÛ!M_ProdN1*(AOÛ!M_Monat=$E250))</f>
        <v>0</v>
      </c>
      <c r="W250" s="232" cm="1">
        <f t="array" ref="W250">SUMPRODUCT((AOÛ!M_Verweiszeile=$H250)*AOÛ!M_ProdN2*(AOÛ!M_Monat=$E250))</f>
        <v>0</v>
      </c>
      <c r="X250" s="232" cm="1">
        <f t="array" ref="X250">SUMPRODUCT((AOÛ!M_Verweiszeile=$H250)*AOÛ!M_Reise*(AOÛ!M_Monat=$E250))</f>
        <v>0</v>
      </c>
      <c r="Y250" s="232" cm="1">
        <f t="array" ref="Y250">SUMPRODUCT((AOÛ!M_Verweiszeile=$H250)*AOÛ!M_Reiseabzug*(AOÛ!M_Monat=$E250))</f>
        <v>0</v>
      </c>
      <c r="Z250" s="232">
        <f t="shared" si="63"/>
        <v>0</v>
      </c>
      <c r="AA250" s="232">
        <f t="shared" si="53"/>
        <v>0</v>
      </c>
      <c r="AB250" s="232">
        <f t="shared" si="54"/>
        <v>0</v>
      </c>
      <c r="AC250" s="232">
        <f t="shared" si="64"/>
        <v>0</v>
      </c>
      <c r="AD250" s="232">
        <f t="shared" si="65"/>
        <v>0</v>
      </c>
      <c r="AE250" s="232">
        <f t="shared" si="66"/>
        <v>0</v>
      </c>
    </row>
    <row r="251" spans="3:31" s="185" customFormat="1" x14ac:dyDescent="0.2">
      <c r="C251" s="128">
        <v>242</v>
      </c>
      <c r="D251" s="186">
        <f t="shared" si="67"/>
        <v>46264</v>
      </c>
      <c r="E251" s="128">
        <f t="shared" si="55"/>
        <v>8</v>
      </c>
      <c r="F251" s="187">
        <f t="shared" si="56"/>
        <v>46264</v>
      </c>
      <c r="G251" s="128">
        <f t="shared" si="57"/>
        <v>35</v>
      </c>
      <c r="H251" s="128">
        <f t="shared" si="58"/>
        <v>30</v>
      </c>
      <c r="I251" s="128">
        <f t="shared" si="59"/>
        <v>7</v>
      </c>
      <c r="J251" s="188">
        <f t="shared" si="60"/>
        <v>46264</v>
      </c>
      <c r="K251" s="128" t="str" cm="1">
        <f t="array" ref="K251">IF(AND(I251&lt;7,INDEX(B_tblFTMatrix,$E251,$H251)="x"),"ft","")</f>
        <v/>
      </c>
      <c r="L251" s="128"/>
      <c r="M251" s="128"/>
      <c r="N251" s="128">
        <f t="shared" si="51"/>
        <v>0</v>
      </c>
      <c r="O251" s="128">
        <f t="shared" si="61"/>
        <v>0</v>
      </c>
      <c r="P251" s="227">
        <f t="shared" si="52"/>
        <v>0</v>
      </c>
      <c r="Q251" s="229" cm="1">
        <f t="array" ref="Q251">SUMPRODUCT((H_tblBGTage=I251)*(H_tblBGMnt=E251)*H_tblBG%)</f>
        <v>0</v>
      </c>
      <c r="R251" s="227">
        <f t="shared" si="62"/>
        <v>0</v>
      </c>
      <c r="S251" s="233"/>
      <c r="T251" s="233"/>
      <c r="U251" s="232" cm="1">
        <f t="array" ref="U251">SUMPRODUCT((AOÛ!M_Verweiszeile=$H251)*AOÛ!M_ProdTag*(AOÛ!M_Monat=$E251))</f>
        <v>0</v>
      </c>
      <c r="V251" s="232" cm="1">
        <f t="array" ref="V251">SUMPRODUCT((AOÛ!M_Verweiszeile=$H251)*AOÛ!M_ProdN1*(AOÛ!M_Monat=$E251))</f>
        <v>0</v>
      </c>
      <c r="W251" s="232" cm="1">
        <f t="array" ref="W251">SUMPRODUCT((AOÛ!M_Verweiszeile=$H251)*AOÛ!M_ProdN2*(AOÛ!M_Monat=$E251))</f>
        <v>0</v>
      </c>
      <c r="X251" s="232" cm="1">
        <f t="array" ref="X251">SUMPRODUCT((AOÛ!M_Verweiszeile=$H251)*AOÛ!M_Reise*(AOÛ!M_Monat=$E251))</f>
        <v>0</v>
      </c>
      <c r="Y251" s="232" cm="1">
        <f t="array" ref="Y251">SUMPRODUCT((AOÛ!M_Verweiszeile=$H251)*AOÛ!M_Reiseabzug*(AOÛ!M_Monat=$E251))</f>
        <v>0</v>
      </c>
      <c r="Z251" s="232">
        <f t="shared" si="63"/>
        <v>0</v>
      </c>
      <c r="AA251" s="232">
        <f t="shared" si="53"/>
        <v>0</v>
      </c>
      <c r="AB251" s="232">
        <f t="shared" si="54"/>
        <v>0</v>
      </c>
      <c r="AC251" s="232">
        <f t="shared" si="64"/>
        <v>0</v>
      </c>
      <c r="AD251" s="232">
        <f t="shared" si="65"/>
        <v>0</v>
      </c>
      <c r="AE251" s="232">
        <f t="shared" si="66"/>
        <v>0</v>
      </c>
    </row>
    <row r="252" spans="3:31" s="185" customFormat="1" x14ac:dyDescent="0.2">
      <c r="C252" s="128">
        <v>243</v>
      </c>
      <c r="D252" s="186">
        <f t="shared" si="67"/>
        <v>46265</v>
      </c>
      <c r="E252" s="128">
        <f t="shared" si="55"/>
        <v>8</v>
      </c>
      <c r="F252" s="187">
        <f t="shared" si="56"/>
        <v>46265</v>
      </c>
      <c r="G252" s="128">
        <f t="shared" si="57"/>
        <v>36</v>
      </c>
      <c r="H252" s="128">
        <f t="shared" si="58"/>
        <v>31</v>
      </c>
      <c r="I252" s="128">
        <f t="shared" si="59"/>
        <v>1</v>
      </c>
      <c r="J252" s="188">
        <f t="shared" si="60"/>
        <v>46265</v>
      </c>
      <c r="K252" s="128" t="str" cm="1">
        <f t="array" ref="K252">IF(AND(I252&lt;7,INDEX(B_tblFTMatrix,$E252,$H252)="x"),"ft","")</f>
        <v/>
      </c>
      <c r="L252" s="128"/>
      <c r="M252" s="128"/>
      <c r="N252" s="128">
        <f t="shared" si="51"/>
        <v>1</v>
      </c>
      <c r="O252" s="128">
        <f t="shared" si="61"/>
        <v>1</v>
      </c>
      <c r="P252" s="227">
        <f t="shared" si="52"/>
        <v>8</v>
      </c>
      <c r="Q252" s="229" cm="1">
        <f t="array" ref="Q252">SUMPRODUCT((H_tblBGTage=I252)*(H_tblBGMnt=E252)*H_tblBG%)</f>
        <v>1</v>
      </c>
      <c r="R252" s="227">
        <f t="shared" si="62"/>
        <v>8</v>
      </c>
      <c r="S252" s="233"/>
      <c r="T252" s="233"/>
      <c r="U252" s="232" cm="1">
        <f t="array" ref="U252">SUMPRODUCT((AOÛ!M_Verweiszeile=$H252)*AOÛ!M_ProdTag*(AOÛ!M_Monat=$E252))</f>
        <v>0</v>
      </c>
      <c r="V252" s="232" cm="1">
        <f t="array" ref="V252">SUMPRODUCT((AOÛ!M_Verweiszeile=$H252)*AOÛ!M_ProdN1*(AOÛ!M_Monat=$E252))</f>
        <v>0</v>
      </c>
      <c r="W252" s="232" cm="1">
        <f t="array" ref="W252">SUMPRODUCT((AOÛ!M_Verweiszeile=$H252)*AOÛ!M_ProdN2*(AOÛ!M_Monat=$E252))</f>
        <v>0</v>
      </c>
      <c r="X252" s="232" cm="1">
        <f t="array" ref="X252">SUMPRODUCT((AOÛ!M_Verweiszeile=$H252)*AOÛ!M_Reise*(AOÛ!M_Monat=$E252))</f>
        <v>0</v>
      </c>
      <c r="Y252" s="232" cm="1">
        <f t="array" ref="Y252">SUMPRODUCT((AOÛ!M_Verweiszeile=$H252)*AOÛ!M_Reiseabzug*(AOÛ!M_Monat=$E252))</f>
        <v>0</v>
      </c>
      <c r="Z252" s="232">
        <f t="shared" si="63"/>
        <v>0</v>
      </c>
      <c r="AA252" s="232">
        <f t="shared" si="53"/>
        <v>0</v>
      </c>
      <c r="AB252" s="232">
        <f t="shared" si="54"/>
        <v>0</v>
      </c>
      <c r="AC252" s="232">
        <f t="shared" si="64"/>
        <v>0</v>
      </c>
      <c r="AD252" s="232">
        <f t="shared" si="65"/>
        <v>0</v>
      </c>
      <c r="AE252" s="232">
        <f t="shared" si="66"/>
        <v>0</v>
      </c>
    </row>
    <row r="253" spans="3:31" s="185" customFormat="1" x14ac:dyDescent="0.2">
      <c r="C253" s="128">
        <v>244</v>
      </c>
      <c r="D253" s="186">
        <f t="shared" si="67"/>
        <v>46266</v>
      </c>
      <c r="E253" s="128">
        <f t="shared" si="55"/>
        <v>9</v>
      </c>
      <c r="F253" s="187">
        <f t="shared" si="56"/>
        <v>46266</v>
      </c>
      <c r="G253" s="128">
        <f t="shared" si="57"/>
        <v>36</v>
      </c>
      <c r="H253" s="128">
        <f t="shared" si="58"/>
        <v>1</v>
      </c>
      <c r="I253" s="128">
        <f t="shared" si="59"/>
        <v>2</v>
      </c>
      <c r="J253" s="188">
        <f t="shared" si="60"/>
        <v>46266</v>
      </c>
      <c r="K253" s="128" t="str" cm="1">
        <f t="array" ref="K253">IF(AND(I253&lt;7,INDEX(B_tblFTMatrix,$E253,$H253)="x"),"ft","")</f>
        <v/>
      </c>
      <c r="L253" s="128"/>
      <c r="M253" s="128"/>
      <c r="N253" s="128">
        <f t="shared" si="51"/>
        <v>1</v>
      </c>
      <c r="O253" s="128">
        <f t="shared" si="61"/>
        <v>1</v>
      </c>
      <c r="P253" s="227">
        <f t="shared" si="52"/>
        <v>8</v>
      </c>
      <c r="Q253" s="229" cm="1">
        <f t="array" ref="Q253">SUMPRODUCT((H_tblBGTage=I253)*(H_tblBGMnt=E253)*H_tblBG%)</f>
        <v>1</v>
      </c>
      <c r="R253" s="227">
        <f t="shared" si="62"/>
        <v>8</v>
      </c>
      <c r="S253" s="233"/>
      <c r="T253" s="233"/>
      <c r="U253" s="311" cm="1">
        <f t="array" ref="U253">SUMPRODUCT((AOÛ!M_Verweiszeile=$H253)*AOÛ!M_ProdTag*(AOÛ!M_Monat=$E253))+SUMPRODUCT((SEP!M_Verweiszeile=$H253)*SEP!M_ProdTag*(SEP!M_Monat=$E253))</f>
        <v>0</v>
      </c>
      <c r="V253" s="232" cm="1">
        <f t="array" ref="V253">SUMPRODUCT((AOÛ!M_Verweiszeile=$H253)*AOÛ!M_ProdN1*(AOÛ!M_Monat=$E253))+SUMPRODUCT((SEP!M_Verweiszeile=$H253)*SEP!M_ProdN1*(SEP!M_Monat=$E253))</f>
        <v>0</v>
      </c>
      <c r="W253" s="232" cm="1">
        <f t="array" ref="W253">SUMPRODUCT((AOÛ!M_Verweiszeile=$H253)*AOÛ!M_ProdN2*(AOÛ!M_Monat=$E253))+SUMPRODUCT((SEP!M_Verweiszeile=$H253)*SEP!M_ProdN2*(SEP!M_Monat=$E253))</f>
        <v>0</v>
      </c>
      <c r="X253" s="232" cm="1">
        <f t="array" ref="X253">SUMPRODUCT((AOÛ!M_Verweiszeile=$H253)*AOÛ!M_Reise*(AOÛ!M_Monat=$E253))+SUMPRODUCT((SEP!M_Verweiszeile=$H253)*SEP!M_Reise*(SEP!M_Monat=$E253))</f>
        <v>0</v>
      </c>
      <c r="Y253" s="232" cm="1">
        <f t="array" ref="Y253">SUMPRODUCT((AOÛ!M_Verweiszeile=$H253)*AOÛ!M_Reiseabzug*(AOÛ!M_Monat=$E253))+SUMPRODUCT((SEP!M_Verweiszeile=$H253)*SEP!M_Reiseabzug*(SEP!M_Monat=$E253))</f>
        <v>0</v>
      </c>
      <c r="Z253" s="232">
        <f t="shared" si="63"/>
        <v>0</v>
      </c>
      <c r="AA253" s="232">
        <f t="shared" si="53"/>
        <v>0</v>
      </c>
      <c r="AB253" s="232">
        <f t="shared" si="54"/>
        <v>0</v>
      </c>
      <c r="AC253" s="232">
        <f t="shared" si="64"/>
        <v>0</v>
      </c>
      <c r="AD253" s="232">
        <f t="shared" si="65"/>
        <v>0</v>
      </c>
      <c r="AE253" s="232">
        <f t="shared" si="66"/>
        <v>0</v>
      </c>
    </row>
    <row r="254" spans="3:31" s="185" customFormat="1" x14ac:dyDescent="0.2">
      <c r="C254" s="128">
        <v>245</v>
      </c>
      <c r="D254" s="186">
        <f t="shared" si="67"/>
        <v>46267</v>
      </c>
      <c r="E254" s="128">
        <f t="shared" si="55"/>
        <v>9</v>
      </c>
      <c r="F254" s="187">
        <f t="shared" si="56"/>
        <v>46267</v>
      </c>
      <c r="G254" s="128">
        <f t="shared" si="57"/>
        <v>36</v>
      </c>
      <c r="H254" s="128">
        <f t="shared" si="58"/>
        <v>2</v>
      </c>
      <c r="I254" s="128">
        <f t="shared" si="59"/>
        <v>3</v>
      </c>
      <c r="J254" s="188">
        <f t="shared" si="60"/>
        <v>46267</v>
      </c>
      <c r="K254" s="128" t="str" cm="1">
        <f t="array" ref="K254">IF(AND(I254&lt;7,INDEX(B_tblFTMatrix,$E254,$H254)="x"),"ft","")</f>
        <v/>
      </c>
      <c r="L254" s="128"/>
      <c r="M254" s="128"/>
      <c r="N254" s="128">
        <f t="shared" si="51"/>
        <v>1</v>
      </c>
      <c r="O254" s="128">
        <f t="shared" si="61"/>
        <v>1</v>
      </c>
      <c r="P254" s="227">
        <f t="shared" si="52"/>
        <v>8</v>
      </c>
      <c r="Q254" s="229" cm="1">
        <f t="array" ref="Q254">SUMPRODUCT((H_tblBGTage=I254)*(H_tblBGMnt=E254)*H_tblBG%)</f>
        <v>1</v>
      </c>
      <c r="R254" s="227">
        <f t="shared" si="62"/>
        <v>8</v>
      </c>
      <c r="S254" s="233"/>
      <c r="T254" s="233"/>
      <c r="U254" s="311" cm="1">
        <f t="array" ref="U254">SUMPRODUCT((SEP!M_Verweiszeile=$H254)*SEP!M_ProdTag*(SEP!M_Monat=$E254))</f>
        <v>0</v>
      </c>
      <c r="V254" s="232" cm="1">
        <f t="array" ref="V254">SUMPRODUCT((SEP!M_Verweiszeile=$H254)*SEP!M_ProdN1*(SEP!M_Monat=$E254))</f>
        <v>0</v>
      </c>
      <c r="W254" s="232" cm="1">
        <f t="array" ref="W254">SUMPRODUCT((SEP!M_Verweiszeile=$H254)*SEP!M_ProdN2*(SEP!M_Monat=$E254))</f>
        <v>0</v>
      </c>
      <c r="X254" s="232" cm="1">
        <f t="array" ref="X254">SUMPRODUCT((SEP!M_Verweiszeile=$H254)*SEP!M_Reise*(SEP!M_Monat=$E254))</f>
        <v>0</v>
      </c>
      <c r="Y254" s="232" cm="1">
        <f t="array" ref="Y254">SUMPRODUCT((SEP!M_Verweiszeile=$H254)*SEP!M_Reiseabzug*(SEP!M_Monat=$E254))</f>
        <v>0</v>
      </c>
      <c r="Z254" s="232">
        <f t="shared" si="63"/>
        <v>0</v>
      </c>
      <c r="AA254" s="232">
        <f t="shared" si="53"/>
        <v>0</v>
      </c>
      <c r="AB254" s="232">
        <f t="shared" si="54"/>
        <v>0</v>
      </c>
      <c r="AC254" s="232">
        <f t="shared" si="64"/>
        <v>0</v>
      </c>
      <c r="AD254" s="232">
        <f t="shared" si="65"/>
        <v>0</v>
      </c>
      <c r="AE254" s="232">
        <f t="shared" si="66"/>
        <v>0</v>
      </c>
    </row>
    <row r="255" spans="3:31" s="185" customFormat="1" x14ac:dyDescent="0.2">
      <c r="C255" s="128">
        <v>246</v>
      </c>
      <c r="D255" s="186">
        <f t="shared" si="67"/>
        <v>46268</v>
      </c>
      <c r="E255" s="128">
        <f t="shared" si="55"/>
        <v>9</v>
      </c>
      <c r="F255" s="187">
        <f t="shared" si="56"/>
        <v>46268</v>
      </c>
      <c r="G255" s="128">
        <f t="shared" si="57"/>
        <v>36</v>
      </c>
      <c r="H255" s="128">
        <f t="shared" si="58"/>
        <v>3</v>
      </c>
      <c r="I255" s="128">
        <f t="shared" si="59"/>
        <v>4</v>
      </c>
      <c r="J255" s="188">
        <f t="shared" si="60"/>
        <v>46268</v>
      </c>
      <c r="K255" s="128" t="str" cm="1">
        <f t="array" ref="K255">IF(AND(I255&lt;7,INDEX(B_tblFTMatrix,$E255,$H255)="x"),"ft","")</f>
        <v/>
      </c>
      <c r="L255" s="128"/>
      <c r="M255" s="128"/>
      <c r="N255" s="128">
        <f t="shared" si="51"/>
        <v>1</v>
      </c>
      <c r="O255" s="128">
        <f t="shared" si="61"/>
        <v>1</v>
      </c>
      <c r="P255" s="227">
        <f t="shared" si="52"/>
        <v>8</v>
      </c>
      <c r="Q255" s="229" cm="1">
        <f t="array" ref="Q255">SUMPRODUCT((H_tblBGTage=I255)*(H_tblBGMnt=E255)*H_tblBG%)</f>
        <v>1</v>
      </c>
      <c r="R255" s="227">
        <f t="shared" si="62"/>
        <v>8</v>
      </c>
      <c r="S255" s="233"/>
      <c r="T255" s="233"/>
      <c r="U255" s="232" cm="1">
        <f t="array" ref="U255">SUMPRODUCT((SEP!M_Verweiszeile=$H255)*SEP!M_ProdTag*(SEP!M_Monat=$E255))</f>
        <v>0</v>
      </c>
      <c r="V255" s="232" cm="1">
        <f t="array" ref="V255">SUMPRODUCT((SEP!M_Verweiszeile=$H255)*SEP!M_ProdN1*(SEP!M_Monat=$E255))</f>
        <v>0</v>
      </c>
      <c r="W255" s="232" cm="1">
        <f t="array" ref="W255">SUMPRODUCT((SEP!M_Verweiszeile=$H255)*SEP!M_ProdN2*(SEP!M_Monat=$E255))</f>
        <v>0</v>
      </c>
      <c r="X255" s="232" cm="1">
        <f t="array" ref="X255">SUMPRODUCT((SEP!M_Verweiszeile=$H255)*SEP!M_Reise*(SEP!M_Monat=$E255))</f>
        <v>0</v>
      </c>
      <c r="Y255" s="232" cm="1">
        <f t="array" ref="Y255">SUMPRODUCT((SEP!M_Verweiszeile=$H255)*SEP!M_Reiseabzug*(SEP!M_Monat=$E255))</f>
        <v>0</v>
      </c>
      <c r="Z255" s="232">
        <f t="shared" si="63"/>
        <v>0</v>
      </c>
      <c r="AA255" s="232">
        <f t="shared" si="53"/>
        <v>0</v>
      </c>
      <c r="AB255" s="232">
        <f t="shared" si="54"/>
        <v>0</v>
      </c>
      <c r="AC255" s="232">
        <f t="shared" si="64"/>
        <v>0</v>
      </c>
      <c r="AD255" s="232">
        <f t="shared" si="65"/>
        <v>0</v>
      </c>
      <c r="AE255" s="232">
        <f t="shared" si="66"/>
        <v>0</v>
      </c>
    </row>
    <row r="256" spans="3:31" s="185" customFormat="1" x14ac:dyDescent="0.2">
      <c r="C256" s="128">
        <v>247</v>
      </c>
      <c r="D256" s="186">
        <f t="shared" si="67"/>
        <v>46269</v>
      </c>
      <c r="E256" s="128">
        <f t="shared" si="55"/>
        <v>9</v>
      </c>
      <c r="F256" s="187">
        <f t="shared" si="56"/>
        <v>46269</v>
      </c>
      <c r="G256" s="128">
        <f t="shared" si="57"/>
        <v>36</v>
      </c>
      <c r="H256" s="128">
        <f t="shared" si="58"/>
        <v>4</v>
      </c>
      <c r="I256" s="128">
        <f t="shared" si="59"/>
        <v>5</v>
      </c>
      <c r="J256" s="188">
        <f t="shared" si="60"/>
        <v>46269</v>
      </c>
      <c r="K256" s="128" t="str" cm="1">
        <f t="array" ref="K256">IF(AND(I256&lt;7,INDEX(B_tblFTMatrix,$E256,$H256)="x"),"ft","")</f>
        <v/>
      </c>
      <c r="L256" s="128"/>
      <c r="M256" s="128"/>
      <c r="N256" s="128">
        <f t="shared" si="51"/>
        <v>1</v>
      </c>
      <c r="O256" s="128">
        <f t="shared" si="61"/>
        <v>1</v>
      </c>
      <c r="P256" s="227">
        <f t="shared" si="52"/>
        <v>8</v>
      </c>
      <c r="Q256" s="229" cm="1">
        <f t="array" ref="Q256">SUMPRODUCT((H_tblBGTage=I256)*(H_tblBGMnt=E256)*H_tblBG%)</f>
        <v>1</v>
      </c>
      <c r="R256" s="227">
        <f t="shared" si="62"/>
        <v>8</v>
      </c>
      <c r="S256" s="233"/>
      <c r="T256" s="233"/>
      <c r="U256" s="232" cm="1">
        <f t="array" ref="U256">SUMPRODUCT((SEP!M_Verweiszeile=$H256)*SEP!M_ProdTag*(SEP!M_Monat=$E256))</f>
        <v>0</v>
      </c>
      <c r="V256" s="232" cm="1">
        <f t="array" ref="V256">SUMPRODUCT((SEP!M_Verweiszeile=$H256)*SEP!M_ProdN1*(SEP!M_Monat=$E256))</f>
        <v>0</v>
      </c>
      <c r="W256" s="232" cm="1">
        <f t="array" ref="W256">SUMPRODUCT((SEP!M_Verweiszeile=$H256)*SEP!M_ProdN2*(SEP!M_Monat=$E256))</f>
        <v>0</v>
      </c>
      <c r="X256" s="232" cm="1">
        <f t="array" ref="X256">SUMPRODUCT((SEP!M_Verweiszeile=$H256)*SEP!M_Reise*(SEP!M_Monat=$E256))</f>
        <v>0</v>
      </c>
      <c r="Y256" s="232" cm="1">
        <f t="array" ref="Y256">SUMPRODUCT((SEP!M_Verweiszeile=$H256)*SEP!M_Reiseabzug*(SEP!M_Monat=$E256))</f>
        <v>0</v>
      </c>
      <c r="Z256" s="232">
        <f t="shared" si="63"/>
        <v>0</v>
      </c>
      <c r="AA256" s="232">
        <f t="shared" si="53"/>
        <v>0</v>
      </c>
      <c r="AB256" s="232">
        <f t="shared" si="54"/>
        <v>0</v>
      </c>
      <c r="AC256" s="232">
        <f t="shared" si="64"/>
        <v>0</v>
      </c>
      <c r="AD256" s="232">
        <f t="shared" si="65"/>
        <v>0</v>
      </c>
      <c r="AE256" s="232">
        <f t="shared" si="66"/>
        <v>0</v>
      </c>
    </row>
    <row r="257" spans="3:31" s="185" customFormat="1" x14ac:dyDescent="0.2">
      <c r="C257" s="128">
        <v>248</v>
      </c>
      <c r="D257" s="186">
        <f t="shared" si="67"/>
        <v>46270</v>
      </c>
      <c r="E257" s="128">
        <f t="shared" si="55"/>
        <v>9</v>
      </c>
      <c r="F257" s="187">
        <f t="shared" si="56"/>
        <v>46270</v>
      </c>
      <c r="G257" s="128">
        <f t="shared" si="57"/>
        <v>36</v>
      </c>
      <c r="H257" s="128">
        <f t="shared" si="58"/>
        <v>5</v>
      </c>
      <c r="I257" s="128">
        <f t="shared" si="59"/>
        <v>6</v>
      </c>
      <c r="J257" s="188">
        <f t="shared" si="60"/>
        <v>46270</v>
      </c>
      <c r="K257" s="128" t="str" cm="1">
        <f t="array" ref="K257">IF(AND(I257&lt;7,INDEX(B_tblFTMatrix,$E257,$H257)="x"),"ft","")</f>
        <v/>
      </c>
      <c r="L257" s="128"/>
      <c r="M257" s="128"/>
      <c r="N257" s="128">
        <f t="shared" si="51"/>
        <v>0</v>
      </c>
      <c r="O257" s="128">
        <f t="shared" si="61"/>
        <v>0</v>
      </c>
      <c r="P257" s="227">
        <f t="shared" si="52"/>
        <v>0</v>
      </c>
      <c r="Q257" s="229" cm="1">
        <f t="array" ref="Q257">SUMPRODUCT((H_tblBGTage=I257)*(H_tblBGMnt=E257)*H_tblBG%)</f>
        <v>0</v>
      </c>
      <c r="R257" s="227">
        <f t="shared" si="62"/>
        <v>0</v>
      </c>
      <c r="S257" s="233"/>
      <c r="T257" s="233"/>
      <c r="U257" s="232" cm="1">
        <f t="array" ref="U257">SUMPRODUCT((SEP!M_Verweiszeile=$H257)*SEP!M_ProdTag*(SEP!M_Monat=$E257))</f>
        <v>0</v>
      </c>
      <c r="V257" s="232" cm="1">
        <f t="array" ref="V257">SUMPRODUCT((SEP!M_Verweiszeile=$H257)*SEP!M_ProdN1*(SEP!M_Monat=$E257))</f>
        <v>0</v>
      </c>
      <c r="W257" s="232" cm="1">
        <f t="array" ref="W257">SUMPRODUCT((SEP!M_Verweiszeile=$H257)*SEP!M_ProdN2*(SEP!M_Monat=$E257))</f>
        <v>0</v>
      </c>
      <c r="X257" s="232" cm="1">
        <f t="array" ref="X257">SUMPRODUCT((SEP!M_Verweiszeile=$H257)*SEP!M_Reise*(SEP!M_Monat=$E257))</f>
        <v>0</v>
      </c>
      <c r="Y257" s="232" cm="1">
        <f t="array" ref="Y257">SUMPRODUCT((SEP!M_Verweiszeile=$H257)*SEP!M_Reiseabzug*(SEP!M_Monat=$E257))</f>
        <v>0</v>
      </c>
      <c r="Z257" s="232">
        <f t="shared" si="63"/>
        <v>0</v>
      </c>
      <c r="AA257" s="232">
        <f t="shared" si="53"/>
        <v>0</v>
      </c>
      <c r="AB257" s="232">
        <f t="shared" si="54"/>
        <v>0</v>
      </c>
      <c r="AC257" s="232">
        <f t="shared" si="64"/>
        <v>0</v>
      </c>
      <c r="AD257" s="232">
        <f t="shared" si="65"/>
        <v>0</v>
      </c>
      <c r="AE257" s="232">
        <f t="shared" si="66"/>
        <v>0</v>
      </c>
    </row>
    <row r="258" spans="3:31" s="185" customFormat="1" x14ac:dyDescent="0.2">
      <c r="C258" s="128">
        <v>249</v>
      </c>
      <c r="D258" s="186">
        <f t="shared" si="67"/>
        <v>46271</v>
      </c>
      <c r="E258" s="128">
        <f t="shared" si="55"/>
        <v>9</v>
      </c>
      <c r="F258" s="187">
        <f t="shared" si="56"/>
        <v>46271</v>
      </c>
      <c r="G258" s="128">
        <f t="shared" si="57"/>
        <v>36</v>
      </c>
      <c r="H258" s="128">
        <f t="shared" si="58"/>
        <v>6</v>
      </c>
      <c r="I258" s="128">
        <f t="shared" si="59"/>
        <v>7</v>
      </c>
      <c r="J258" s="188">
        <f t="shared" si="60"/>
        <v>46271</v>
      </c>
      <c r="K258" s="128" t="str" cm="1">
        <f t="array" ref="K258">IF(AND(I258&lt;7,INDEX(B_tblFTMatrix,$E258,$H258)="x"),"ft","")</f>
        <v/>
      </c>
      <c r="L258" s="128"/>
      <c r="M258" s="128"/>
      <c r="N258" s="128">
        <f t="shared" si="51"/>
        <v>0</v>
      </c>
      <c r="O258" s="128">
        <f t="shared" si="61"/>
        <v>0</v>
      </c>
      <c r="P258" s="227">
        <f t="shared" si="52"/>
        <v>0</v>
      </c>
      <c r="Q258" s="229" cm="1">
        <f t="array" ref="Q258">SUMPRODUCT((H_tblBGTage=I258)*(H_tblBGMnt=E258)*H_tblBG%)</f>
        <v>0</v>
      </c>
      <c r="R258" s="227">
        <f t="shared" si="62"/>
        <v>0</v>
      </c>
      <c r="S258" s="233"/>
      <c r="T258" s="233"/>
      <c r="U258" s="232" cm="1">
        <f t="array" ref="U258">SUMPRODUCT((SEP!M_Verweiszeile=$H258)*SEP!M_ProdTag*(SEP!M_Monat=$E258))</f>
        <v>0</v>
      </c>
      <c r="V258" s="232" cm="1">
        <f t="array" ref="V258">SUMPRODUCT((SEP!M_Verweiszeile=$H258)*SEP!M_ProdN1*(SEP!M_Monat=$E258))</f>
        <v>0</v>
      </c>
      <c r="W258" s="232" cm="1">
        <f t="array" ref="W258">SUMPRODUCT((SEP!M_Verweiszeile=$H258)*SEP!M_ProdN2*(SEP!M_Monat=$E258))</f>
        <v>0</v>
      </c>
      <c r="X258" s="232" cm="1">
        <f t="array" ref="X258">SUMPRODUCT((SEP!M_Verweiszeile=$H258)*SEP!M_Reise*(SEP!M_Monat=$E258))</f>
        <v>0</v>
      </c>
      <c r="Y258" s="232" cm="1">
        <f t="array" ref="Y258">SUMPRODUCT((SEP!M_Verweiszeile=$H258)*SEP!M_Reiseabzug*(SEP!M_Monat=$E258))</f>
        <v>0</v>
      </c>
      <c r="Z258" s="232">
        <f t="shared" si="63"/>
        <v>0</v>
      </c>
      <c r="AA258" s="232">
        <f t="shared" si="53"/>
        <v>0</v>
      </c>
      <c r="AB258" s="232">
        <f t="shared" si="54"/>
        <v>0</v>
      </c>
      <c r="AC258" s="232">
        <f t="shared" si="64"/>
        <v>0</v>
      </c>
      <c r="AD258" s="232">
        <f t="shared" si="65"/>
        <v>0</v>
      </c>
      <c r="AE258" s="232">
        <f t="shared" si="66"/>
        <v>0</v>
      </c>
    </row>
    <row r="259" spans="3:31" s="185" customFormat="1" x14ac:dyDescent="0.2">
      <c r="C259" s="128">
        <v>250</v>
      </c>
      <c r="D259" s="186">
        <f t="shared" si="67"/>
        <v>46272</v>
      </c>
      <c r="E259" s="128">
        <f t="shared" si="55"/>
        <v>9</v>
      </c>
      <c r="F259" s="187">
        <f t="shared" si="56"/>
        <v>46272</v>
      </c>
      <c r="G259" s="128">
        <f t="shared" si="57"/>
        <v>37</v>
      </c>
      <c r="H259" s="128">
        <f t="shared" si="58"/>
        <v>7</v>
      </c>
      <c r="I259" s="128">
        <f t="shared" si="59"/>
        <v>1</v>
      </c>
      <c r="J259" s="188">
        <f t="shared" si="60"/>
        <v>46272</v>
      </c>
      <c r="K259" s="128" t="str" cm="1">
        <f t="array" ref="K259">IF(AND(I259&lt;7,INDEX(B_tblFTMatrix,$E259,$H259)="x"),"ft","")</f>
        <v/>
      </c>
      <c r="L259" s="128"/>
      <c r="M259" s="128"/>
      <c r="N259" s="128">
        <f t="shared" si="51"/>
        <v>1</v>
      </c>
      <c r="O259" s="128">
        <f t="shared" si="61"/>
        <v>1</v>
      </c>
      <c r="P259" s="227">
        <f t="shared" si="52"/>
        <v>8</v>
      </c>
      <c r="Q259" s="229" cm="1">
        <f t="array" ref="Q259">SUMPRODUCT((H_tblBGTage=I259)*(H_tblBGMnt=E259)*H_tblBG%)</f>
        <v>1</v>
      </c>
      <c r="R259" s="227">
        <f t="shared" si="62"/>
        <v>8</v>
      </c>
      <c r="S259" s="233"/>
      <c r="T259" s="233"/>
      <c r="U259" s="232" cm="1">
        <f t="array" ref="U259">SUMPRODUCT((SEP!M_Verweiszeile=$H259)*SEP!M_ProdTag*(SEP!M_Monat=$E259))</f>
        <v>0</v>
      </c>
      <c r="V259" s="232" cm="1">
        <f t="array" ref="V259">SUMPRODUCT((SEP!M_Verweiszeile=$H259)*SEP!M_ProdN1*(SEP!M_Monat=$E259))</f>
        <v>0</v>
      </c>
      <c r="W259" s="232" cm="1">
        <f t="array" ref="W259">SUMPRODUCT((SEP!M_Verweiszeile=$H259)*SEP!M_ProdN2*(SEP!M_Monat=$E259))</f>
        <v>0</v>
      </c>
      <c r="X259" s="232" cm="1">
        <f t="array" ref="X259">SUMPRODUCT((SEP!M_Verweiszeile=$H259)*SEP!M_Reise*(SEP!M_Monat=$E259))</f>
        <v>0</v>
      </c>
      <c r="Y259" s="232" cm="1">
        <f t="array" ref="Y259">SUMPRODUCT((SEP!M_Verweiszeile=$H259)*SEP!M_Reiseabzug*(SEP!M_Monat=$E259))</f>
        <v>0</v>
      </c>
      <c r="Z259" s="232">
        <f t="shared" si="63"/>
        <v>0</v>
      </c>
      <c r="AA259" s="232">
        <f t="shared" si="53"/>
        <v>0</v>
      </c>
      <c r="AB259" s="232">
        <f t="shared" si="54"/>
        <v>0</v>
      </c>
      <c r="AC259" s="232">
        <f t="shared" si="64"/>
        <v>0</v>
      </c>
      <c r="AD259" s="232">
        <f t="shared" si="65"/>
        <v>0</v>
      </c>
      <c r="AE259" s="232">
        <f t="shared" si="66"/>
        <v>0</v>
      </c>
    </row>
    <row r="260" spans="3:31" s="185" customFormat="1" x14ac:dyDescent="0.2">
      <c r="C260" s="128">
        <v>251</v>
      </c>
      <c r="D260" s="186">
        <f t="shared" si="67"/>
        <v>46273</v>
      </c>
      <c r="E260" s="128">
        <f t="shared" si="55"/>
        <v>9</v>
      </c>
      <c r="F260" s="187">
        <f t="shared" si="56"/>
        <v>46273</v>
      </c>
      <c r="G260" s="128">
        <f t="shared" si="57"/>
        <v>37</v>
      </c>
      <c r="H260" s="128">
        <f t="shared" si="58"/>
        <v>8</v>
      </c>
      <c r="I260" s="128">
        <f t="shared" si="59"/>
        <v>2</v>
      </c>
      <c r="J260" s="188">
        <f t="shared" si="60"/>
        <v>46273</v>
      </c>
      <c r="K260" s="128" t="str" cm="1">
        <f t="array" ref="K260">IF(AND(I260&lt;7,INDEX(B_tblFTMatrix,$E260,$H260)="x"),"ft","")</f>
        <v/>
      </c>
      <c r="L260" s="128"/>
      <c r="M260" s="128"/>
      <c r="N260" s="128">
        <f t="shared" si="51"/>
        <v>1</v>
      </c>
      <c r="O260" s="128">
        <f t="shared" si="61"/>
        <v>1</v>
      </c>
      <c r="P260" s="227">
        <f t="shared" si="52"/>
        <v>8</v>
      </c>
      <c r="Q260" s="229" cm="1">
        <f t="array" ref="Q260">SUMPRODUCT((H_tblBGTage=I260)*(H_tblBGMnt=E260)*H_tblBG%)</f>
        <v>1</v>
      </c>
      <c r="R260" s="227">
        <f t="shared" si="62"/>
        <v>8</v>
      </c>
      <c r="S260" s="233"/>
      <c r="T260" s="233"/>
      <c r="U260" s="232" cm="1">
        <f t="array" ref="U260">SUMPRODUCT((SEP!M_Verweiszeile=$H260)*SEP!M_ProdTag*(SEP!M_Monat=$E260))</f>
        <v>0</v>
      </c>
      <c r="V260" s="232" cm="1">
        <f t="array" ref="V260">SUMPRODUCT((SEP!M_Verweiszeile=$H260)*SEP!M_ProdN1*(SEP!M_Monat=$E260))</f>
        <v>0</v>
      </c>
      <c r="W260" s="232" cm="1">
        <f t="array" ref="W260">SUMPRODUCT((SEP!M_Verweiszeile=$H260)*SEP!M_ProdN2*(SEP!M_Monat=$E260))</f>
        <v>0</v>
      </c>
      <c r="X260" s="232" cm="1">
        <f t="array" ref="X260">SUMPRODUCT((SEP!M_Verweiszeile=$H260)*SEP!M_Reise*(SEP!M_Monat=$E260))</f>
        <v>0</v>
      </c>
      <c r="Y260" s="232" cm="1">
        <f t="array" ref="Y260">SUMPRODUCT((SEP!M_Verweiszeile=$H260)*SEP!M_Reiseabzug*(SEP!M_Monat=$E260))</f>
        <v>0</v>
      </c>
      <c r="Z260" s="232">
        <f t="shared" si="63"/>
        <v>0</v>
      </c>
      <c r="AA260" s="232">
        <f t="shared" si="53"/>
        <v>0</v>
      </c>
      <c r="AB260" s="232">
        <f t="shared" si="54"/>
        <v>0</v>
      </c>
      <c r="AC260" s="232">
        <f t="shared" si="64"/>
        <v>0</v>
      </c>
      <c r="AD260" s="232">
        <f t="shared" si="65"/>
        <v>0</v>
      </c>
      <c r="AE260" s="232">
        <f t="shared" si="66"/>
        <v>0</v>
      </c>
    </row>
    <row r="261" spans="3:31" s="185" customFormat="1" x14ac:dyDescent="0.2">
      <c r="C261" s="128">
        <v>252</v>
      </c>
      <c r="D261" s="186">
        <f t="shared" si="67"/>
        <v>46274</v>
      </c>
      <c r="E261" s="128">
        <f t="shared" si="55"/>
        <v>9</v>
      </c>
      <c r="F261" s="187">
        <f t="shared" si="56"/>
        <v>46274</v>
      </c>
      <c r="G261" s="128">
        <f t="shared" si="57"/>
        <v>37</v>
      </c>
      <c r="H261" s="128">
        <f t="shared" si="58"/>
        <v>9</v>
      </c>
      <c r="I261" s="128">
        <f t="shared" si="59"/>
        <v>3</v>
      </c>
      <c r="J261" s="188">
        <f t="shared" si="60"/>
        <v>46274</v>
      </c>
      <c r="K261" s="128" t="str" cm="1">
        <f t="array" ref="K261">IF(AND(I261&lt;7,INDEX(B_tblFTMatrix,$E261,$H261)="x"),"ft","")</f>
        <v/>
      </c>
      <c r="L261" s="128"/>
      <c r="M261" s="128"/>
      <c r="N261" s="128">
        <f t="shared" si="51"/>
        <v>1</v>
      </c>
      <c r="O261" s="128">
        <f t="shared" si="61"/>
        <v>1</v>
      </c>
      <c r="P261" s="227">
        <f t="shared" si="52"/>
        <v>8</v>
      </c>
      <c r="Q261" s="229" cm="1">
        <f t="array" ref="Q261">SUMPRODUCT((H_tblBGTage=I261)*(H_tblBGMnt=E261)*H_tblBG%)</f>
        <v>1</v>
      </c>
      <c r="R261" s="227">
        <f t="shared" si="62"/>
        <v>8</v>
      </c>
      <c r="S261" s="233"/>
      <c r="T261" s="233"/>
      <c r="U261" s="232" cm="1">
        <f t="array" ref="U261">SUMPRODUCT((SEP!M_Verweiszeile=$H261)*SEP!M_ProdTag*(SEP!M_Monat=$E261))</f>
        <v>0</v>
      </c>
      <c r="V261" s="232" cm="1">
        <f t="array" ref="V261">SUMPRODUCT((SEP!M_Verweiszeile=$H261)*SEP!M_ProdN1*(SEP!M_Monat=$E261))</f>
        <v>0</v>
      </c>
      <c r="W261" s="232" cm="1">
        <f t="array" ref="W261">SUMPRODUCT((SEP!M_Verweiszeile=$H261)*SEP!M_ProdN2*(SEP!M_Monat=$E261))</f>
        <v>0</v>
      </c>
      <c r="X261" s="232" cm="1">
        <f t="array" ref="X261">SUMPRODUCT((SEP!M_Verweiszeile=$H261)*SEP!M_Reise*(SEP!M_Monat=$E261))</f>
        <v>0</v>
      </c>
      <c r="Y261" s="232" cm="1">
        <f t="array" ref="Y261">SUMPRODUCT((SEP!M_Verweiszeile=$H261)*SEP!M_Reiseabzug*(SEP!M_Monat=$E261))</f>
        <v>0</v>
      </c>
      <c r="Z261" s="232">
        <f t="shared" si="63"/>
        <v>0</v>
      </c>
      <c r="AA261" s="232">
        <f t="shared" si="53"/>
        <v>0</v>
      </c>
      <c r="AB261" s="232">
        <f t="shared" si="54"/>
        <v>0</v>
      </c>
      <c r="AC261" s="232">
        <f t="shared" si="64"/>
        <v>0</v>
      </c>
      <c r="AD261" s="232">
        <f t="shared" si="65"/>
        <v>0</v>
      </c>
      <c r="AE261" s="232">
        <f t="shared" si="66"/>
        <v>0</v>
      </c>
    </row>
    <row r="262" spans="3:31" s="185" customFormat="1" x14ac:dyDescent="0.2">
      <c r="C262" s="128">
        <v>253</v>
      </c>
      <c r="D262" s="186">
        <f t="shared" si="67"/>
        <v>46275</v>
      </c>
      <c r="E262" s="128">
        <f t="shared" si="55"/>
        <v>9</v>
      </c>
      <c r="F262" s="187">
        <f t="shared" si="56"/>
        <v>46275</v>
      </c>
      <c r="G262" s="128">
        <f t="shared" si="57"/>
        <v>37</v>
      </c>
      <c r="H262" s="128">
        <f t="shared" si="58"/>
        <v>10</v>
      </c>
      <c r="I262" s="128">
        <f t="shared" si="59"/>
        <v>4</v>
      </c>
      <c r="J262" s="188">
        <f t="shared" si="60"/>
        <v>46275</v>
      </c>
      <c r="K262" s="128" t="str" cm="1">
        <f t="array" ref="K262">IF(AND(I262&lt;7,INDEX(B_tblFTMatrix,$E262,$H262)="x"),"ft","")</f>
        <v/>
      </c>
      <c r="L262" s="128"/>
      <c r="M262" s="128"/>
      <c r="N262" s="128">
        <f t="shared" si="51"/>
        <v>1</v>
      </c>
      <c r="O262" s="128">
        <f t="shared" si="61"/>
        <v>1</v>
      </c>
      <c r="P262" s="227">
        <f t="shared" si="52"/>
        <v>8</v>
      </c>
      <c r="Q262" s="229" cm="1">
        <f t="array" ref="Q262">SUMPRODUCT((H_tblBGTage=I262)*(H_tblBGMnt=E262)*H_tblBG%)</f>
        <v>1</v>
      </c>
      <c r="R262" s="227">
        <f t="shared" si="62"/>
        <v>8</v>
      </c>
      <c r="S262" s="233"/>
      <c r="T262" s="233"/>
      <c r="U262" s="232" cm="1">
        <f t="array" ref="U262">SUMPRODUCT((SEP!M_Verweiszeile=$H262)*SEP!M_ProdTag*(SEP!M_Monat=$E262))</f>
        <v>0</v>
      </c>
      <c r="V262" s="232" cm="1">
        <f t="array" ref="V262">SUMPRODUCT((SEP!M_Verweiszeile=$H262)*SEP!M_ProdN1*(SEP!M_Monat=$E262))</f>
        <v>0</v>
      </c>
      <c r="W262" s="232" cm="1">
        <f t="array" ref="W262">SUMPRODUCT((SEP!M_Verweiszeile=$H262)*SEP!M_ProdN2*(SEP!M_Monat=$E262))</f>
        <v>0</v>
      </c>
      <c r="X262" s="232" cm="1">
        <f t="array" ref="X262">SUMPRODUCT((SEP!M_Verweiszeile=$H262)*SEP!M_Reise*(SEP!M_Monat=$E262))</f>
        <v>0</v>
      </c>
      <c r="Y262" s="232" cm="1">
        <f t="array" ref="Y262">SUMPRODUCT((SEP!M_Verweiszeile=$H262)*SEP!M_Reiseabzug*(SEP!M_Monat=$E262))</f>
        <v>0</v>
      </c>
      <c r="Z262" s="232">
        <f t="shared" si="63"/>
        <v>0</v>
      </c>
      <c r="AA262" s="232">
        <f t="shared" si="53"/>
        <v>0</v>
      </c>
      <c r="AB262" s="232">
        <f t="shared" si="54"/>
        <v>0</v>
      </c>
      <c r="AC262" s="232">
        <f t="shared" si="64"/>
        <v>0</v>
      </c>
      <c r="AD262" s="232">
        <f t="shared" si="65"/>
        <v>0</v>
      </c>
      <c r="AE262" s="232">
        <f t="shared" si="66"/>
        <v>0</v>
      </c>
    </row>
    <row r="263" spans="3:31" s="185" customFormat="1" x14ac:dyDescent="0.2">
      <c r="C263" s="128">
        <v>254</v>
      </c>
      <c r="D263" s="186">
        <f t="shared" si="67"/>
        <v>46276</v>
      </c>
      <c r="E263" s="128">
        <f t="shared" si="55"/>
        <v>9</v>
      </c>
      <c r="F263" s="187">
        <f t="shared" si="56"/>
        <v>46276</v>
      </c>
      <c r="G263" s="128">
        <f t="shared" si="57"/>
        <v>37</v>
      </c>
      <c r="H263" s="128">
        <f t="shared" si="58"/>
        <v>11</v>
      </c>
      <c r="I263" s="128">
        <f t="shared" si="59"/>
        <v>5</v>
      </c>
      <c r="J263" s="188">
        <f t="shared" si="60"/>
        <v>46276</v>
      </c>
      <c r="K263" s="128" t="str" cm="1">
        <f t="array" ref="K263">IF(AND(I263&lt;7,INDEX(B_tblFTMatrix,$E263,$H263)="x"),"ft","")</f>
        <v/>
      </c>
      <c r="L263" s="128"/>
      <c r="M263" s="128"/>
      <c r="N263" s="128">
        <f t="shared" si="51"/>
        <v>1</v>
      </c>
      <c r="O263" s="128">
        <f t="shared" si="61"/>
        <v>1</v>
      </c>
      <c r="P263" s="227">
        <f t="shared" si="52"/>
        <v>8</v>
      </c>
      <c r="Q263" s="229" cm="1">
        <f t="array" ref="Q263">SUMPRODUCT((H_tblBGTage=I263)*(H_tblBGMnt=E263)*H_tblBG%)</f>
        <v>1</v>
      </c>
      <c r="R263" s="227">
        <f t="shared" si="62"/>
        <v>8</v>
      </c>
      <c r="S263" s="233"/>
      <c r="T263" s="233"/>
      <c r="U263" s="232" cm="1">
        <f t="array" ref="U263">SUMPRODUCT((SEP!M_Verweiszeile=$H263)*SEP!M_ProdTag*(SEP!M_Monat=$E263))</f>
        <v>0</v>
      </c>
      <c r="V263" s="232" cm="1">
        <f t="array" ref="V263">SUMPRODUCT((SEP!M_Verweiszeile=$H263)*SEP!M_ProdN1*(SEP!M_Monat=$E263))</f>
        <v>0</v>
      </c>
      <c r="W263" s="232" cm="1">
        <f t="array" ref="W263">SUMPRODUCT((SEP!M_Verweiszeile=$H263)*SEP!M_ProdN2*(SEP!M_Monat=$E263))</f>
        <v>0</v>
      </c>
      <c r="X263" s="232" cm="1">
        <f t="array" ref="X263">SUMPRODUCT((SEP!M_Verweiszeile=$H263)*SEP!M_Reise*(SEP!M_Monat=$E263))</f>
        <v>0</v>
      </c>
      <c r="Y263" s="232" cm="1">
        <f t="array" ref="Y263">SUMPRODUCT((SEP!M_Verweiszeile=$H263)*SEP!M_Reiseabzug*(SEP!M_Monat=$E263))</f>
        <v>0</v>
      </c>
      <c r="Z263" s="232">
        <f t="shared" si="63"/>
        <v>0</v>
      </c>
      <c r="AA263" s="232">
        <f t="shared" si="53"/>
        <v>0</v>
      </c>
      <c r="AB263" s="232">
        <f t="shared" si="54"/>
        <v>0</v>
      </c>
      <c r="AC263" s="232">
        <f t="shared" si="64"/>
        <v>0</v>
      </c>
      <c r="AD263" s="232">
        <f t="shared" si="65"/>
        <v>0</v>
      </c>
      <c r="AE263" s="232">
        <f t="shared" si="66"/>
        <v>0</v>
      </c>
    </row>
    <row r="264" spans="3:31" s="185" customFormat="1" x14ac:dyDescent="0.2">
      <c r="C264" s="128">
        <v>255</v>
      </c>
      <c r="D264" s="186">
        <f t="shared" si="67"/>
        <v>46277</v>
      </c>
      <c r="E264" s="128">
        <f t="shared" si="55"/>
        <v>9</v>
      </c>
      <c r="F264" s="187">
        <f t="shared" si="56"/>
        <v>46277</v>
      </c>
      <c r="G264" s="128">
        <f t="shared" si="57"/>
        <v>37</v>
      </c>
      <c r="H264" s="128">
        <f t="shared" si="58"/>
        <v>12</v>
      </c>
      <c r="I264" s="128">
        <f t="shared" si="59"/>
        <v>6</v>
      </c>
      <c r="J264" s="188">
        <f t="shared" si="60"/>
        <v>46277</v>
      </c>
      <c r="K264" s="128" t="str" cm="1">
        <f t="array" ref="K264">IF(AND(I264&lt;7,INDEX(B_tblFTMatrix,$E264,$H264)="x"),"ft","")</f>
        <v/>
      </c>
      <c r="L264" s="128"/>
      <c r="M264" s="128"/>
      <c r="N264" s="128">
        <f t="shared" si="51"/>
        <v>0</v>
      </c>
      <c r="O264" s="128">
        <f t="shared" si="61"/>
        <v>0</v>
      </c>
      <c r="P264" s="227">
        <f t="shared" si="52"/>
        <v>0</v>
      </c>
      <c r="Q264" s="229" cm="1">
        <f t="array" ref="Q264">SUMPRODUCT((H_tblBGTage=I264)*(H_tblBGMnt=E264)*H_tblBG%)</f>
        <v>0</v>
      </c>
      <c r="R264" s="227">
        <f t="shared" si="62"/>
        <v>0</v>
      </c>
      <c r="S264" s="233"/>
      <c r="T264" s="233"/>
      <c r="U264" s="232" cm="1">
        <f t="array" ref="U264">SUMPRODUCT((SEP!M_Verweiszeile=$H264)*SEP!M_ProdTag*(SEP!M_Monat=$E264))</f>
        <v>0</v>
      </c>
      <c r="V264" s="232" cm="1">
        <f t="array" ref="V264">SUMPRODUCT((SEP!M_Verweiszeile=$H264)*SEP!M_ProdN1*(SEP!M_Monat=$E264))</f>
        <v>0</v>
      </c>
      <c r="W264" s="232" cm="1">
        <f t="array" ref="W264">SUMPRODUCT((SEP!M_Verweiszeile=$H264)*SEP!M_ProdN2*(SEP!M_Monat=$E264))</f>
        <v>0</v>
      </c>
      <c r="X264" s="232" cm="1">
        <f t="array" ref="X264">SUMPRODUCT((SEP!M_Verweiszeile=$H264)*SEP!M_Reise*(SEP!M_Monat=$E264))</f>
        <v>0</v>
      </c>
      <c r="Y264" s="232" cm="1">
        <f t="array" ref="Y264">SUMPRODUCT((SEP!M_Verweiszeile=$H264)*SEP!M_Reiseabzug*(SEP!M_Monat=$E264))</f>
        <v>0</v>
      </c>
      <c r="Z264" s="232">
        <f t="shared" si="63"/>
        <v>0</v>
      </c>
      <c r="AA264" s="232">
        <f t="shared" si="53"/>
        <v>0</v>
      </c>
      <c r="AB264" s="232">
        <f t="shared" si="54"/>
        <v>0</v>
      </c>
      <c r="AC264" s="232">
        <f t="shared" si="64"/>
        <v>0</v>
      </c>
      <c r="AD264" s="232">
        <f t="shared" si="65"/>
        <v>0</v>
      </c>
      <c r="AE264" s="232">
        <f t="shared" si="66"/>
        <v>0</v>
      </c>
    </row>
    <row r="265" spans="3:31" s="185" customFormat="1" x14ac:dyDescent="0.2">
      <c r="C265" s="128">
        <v>256</v>
      </c>
      <c r="D265" s="186">
        <f t="shared" si="67"/>
        <v>46278</v>
      </c>
      <c r="E265" s="128">
        <f t="shared" si="55"/>
        <v>9</v>
      </c>
      <c r="F265" s="187">
        <f t="shared" si="56"/>
        <v>46278</v>
      </c>
      <c r="G265" s="128">
        <f t="shared" si="57"/>
        <v>37</v>
      </c>
      <c r="H265" s="128">
        <f t="shared" si="58"/>
        <v>13</v>
      </c>
      <c r="I265" s="128">
        <f t="shared" si="59"/>
        <v>7</v>
      </c>
      <c r="J265" s="188">
        <f t="shared" si="60"/>
        <v>46278</v>
      </c>
      <c r="K265" s="128" t="str" cm="1">
        <f t="array" ref="K265">IF(AND(I265&lt;7,INDEX(B_tblFTMatrix,$E265,$H265)="x"),"ft","")</f>
        <v/>
      </c>
      <c r="L265" s="128"/>
      <c r="M265" s="128"/>
      <c r="N265" s="128">
        <f t="shared" si="51"/>
        <v>0</v>
      </c>
      <c r="O265" s="128">
        <f t="shared" si="61"/>
        <v>0</v>
      </c>
      <c r="P265" s="227">
        <f t="shared" si="52"/>
        <v>0</v>
      </c>
      <c r="Q265" s="229" cm="1">
        <f t="array" ref="Q265">SUMPRODUCT((H_tblBGTage=I265)*(H_tblBGMnt=E265)*H_tblBG%)</f>
        <v>0</v>
      </c>
      <c r="R265" s="227">
        <f t="shared" si="62"/>
        <v>0</v>
      </c>
      <c r="S265" s="233"/>
      <c r="T265" s="233"/>
      <c r="U265" s="232" cm="1">
        <f t="array" ref="U265">SUMPRODUCT((SEP!M_Verweiszeile=$H265)*SEP!M_ProdTag*(SEP!M_Monat=$E265))</f>
        <v>0</v>
      </c>
      <c r="V265" s="232" cm="1">
        <f t="array" ref="V265">SUMPRODUCT((SEP!M_Verweiszeile=$H265)*SEP!M_ProdN1*(SEP!M_Monat=$E265))</f>
        <v>0</v>
      </c>
      <c r="W265" s="232" cm="1">
        <f t="array" ref="W265">SUMPRODUCT((SEP!M_Verweiszeile=$H265)*SEP!M_ProdN2*(SEP!M_Monat=$E265))</f>
        <v>0</v>
      </c>
      <c r="X265" s="232" cm="1">
        <f t="array" ref="X265">SUMPRODUCT((SEP!M_Verweiszeile=$H265)*SEP!M_Reise*(SEP!M_Monat=$E265))</f>
        <v>0</v>
      </c>
      <c r="Y265" s="232" cm="1">
        <f t="array" ref="Y265">SUMPRODUCT((SEP!M_Verweiszeile=$H265)*SEP!M_Reiseabzug*(SEP!M_Monat=$E265))</f>
        <v>0</v>
      </c>
      <c r="Z265" s="232">
        <f t="shared" si="63"/>
        <v>0</v>
      </c>
      <c r="AA265" s="232">
        <f t="shared" si="53"/>
        <v>0</v>
      </c>
      <c r="AB265" s="232">
        <f t="shared" si="54"/>
        <v>0</v>
      </c>
      <c r="AC265" s="232">
        <f t="shared" si="64"/>
        <v>0</v>
      </c>
      <c r="AD265" s="232">
        <f t="shared" si="65"/>
        <v>0</v>
      </c>
      <c r="AE265" s="232">
        <f t="shared" si="66"/>
        <v>0</v>
      </c>
    </row>
    <row r="266" spans="3:31" s="185" customFormat="1" x14ac:dyDescent="0.2">
      <c r="C266" s="128">
        <v>257</v>
      </c>
      <c r="D266" s="186">
        <f t="shared" si="67"/>
        <v>46279</v>
      </c>
      <c r="E266" s="128">
        <f t="shared" si="55"/>
        <v>9</v>
      </c>
      <c r="F266" s="187">
        <f t="shared" si="56"/>
        <v>46279</v>
      </c>
      <c r="G266" s="128">
        <f t="shared" si="57"/>
        <v>38</v>
      </c>
      <c r="H266" s="128">
        <f t="shared" si="58"/>
        <v>14</v>
      </c>
      <c r="I266" s="128">
        <f t="shared" si="59"/>
        <v>1</v>
      </c>
      <c r="J266" s="188">
        <f t="shared" si="60"/>
        <v>46279</v>
      </c>
      <c r="K266" s="128" t="str" cm="1">
        <f t="array" ref="K266">IF(AND(I266&lt;7,INDEX(B_tblFTMatrix,$E266,$H266)="x"),"ft","")</f>
        <v/>
      </c>
      <c r="L266" s="128"/>
      <c r="M266" s="128"/>
      <c r="N266" s="128">
        <f t="shared" ref="N266:N329" si="68">IF(I266&lt;6,1,0)</f>
        <v>1</v>
      </c>
      <c r="O266" s="128">
        <f t="shared" si="61"/>
        <v>1</v>
      </c>
      <c r="P266" s="227">
        <f t="shared" ref="P266:P329" si="69">IFERROR($E$3*N266,0)</f>
        <v>8</v>
      </c>
      <c r="Q266" s="229" cm="1">
        <f t="array" ref="Q266">SUMPRODUCT((H_tblBGTage=I266)*(H_tblBGMnt=E266)*H_tblBG%)</f>
        <v>1</v>
      </c>
      <c r="R266" s="227">
        <f t="shared" si="62"/>
        <v>8</v>
      </c>
      <c r="S266" s="233"/>
      <c r="T266" s="233"/>
      <c r="U266" s="232" cm="1">
        <f t="array" ref="U266">SUMPRODUCT((SEP!M_Verweiszeile=$H266)*SEP!M_ProdTag*(SEP!M_Monat=$E266))</f>
        <v>0</v>
      </c>
      <c r="V266" s="232" cm="1">
        <f t="array" ref="V266">SUMPRODUCT((SEP!M_Verweiszeile=$H266)*SEP!M_ProdN1*(SEP!M_Monat=$E266))</f>
        <v>0</v>
      </c>
      <c r="W266" s="232" cm="1">
        <f t="array" ref="W266">SUMPRODUCT((SEP!M_Verweiszeile=$H266)*SEP!M_ProdN2*(SEP!M_Monat=$E266))</f>
        <v>0</v>
      </c>
      <c r="X266" s="232" cm="1">
        <f t="array" ref="X266">SUMPRODUCT((SEP!M_Verweiszeile=$H266)*SEP!M_Reise*(SEP!M_Monat=$E266))</f>
        <v>0</v>
      </c>
      <c r="Y266" s="232" cm="1">
        <f t="array" ref="Y266">SUMPRODUCT((SEP!M_Verweiszeile=$H266)*SEP!M_Reiseabzug*(SEP!M_Monat=$E266))</f>
        <v>0</v>
      </c>
      <c r="Z266" s="232">
        <f t="shared" si="63"/>
        <v>0</v>
      </c>
      <c r="AA266" s="232">
        <f t="shared" ref="AA266:AA329" si="70">IFERROR(IF($K266="ft",R266,0),0)</f>
        <v>0</v>
      </c>
      <c r="AB266" s="232">
        <f t="shared" ref="AB266:AB329" si="71">SUM(V266:W266)*A_fldZ2</f>
        <v>0</v>
      </c>
      <c r="AC266" s="232">
        <f t="shared" si="64"/>
        <v>0</v>
      </c>
      <c r="AD266" s="232">
        <f t="shared" si="65"/>
        <v>0</v>
      </c>
      <c r="AE266" s="232">
        <f t="shared" si="66"/>
        <v>0</v>
      </c>
    </row>
    <row r="267" spans="3:31" s="185" customFormat="1" x14ac:dyDescent="0.2">
      <c r="C267" s="128">
        <v>258</v>
      </c>
      <c r="D267" s="186">
        <f t="shared" si="67"/>
        <v>46280</v>
      </c>
      <c r="E267" s="128">
        <f t="shared" ref="E267:E330" si="72">MONTH(D267)</f>
        <v>9</v>
      </c>
      <c r="F267" s="187">
        <f t="shared" ref="F267:F330" si="73">D267</f>
        <v>46280</v>
      </c>
      <c r="G267" s="128">
        <f t="shared" ref="G267:G330" si="74">_xlfn.ISOWEEKNUM(D267)</f>
        <v>38</v>
      </c>
      <c r="H267" s="128">
        <f t="shared" ref="H267:H330" si="75">DAY(D267)</f>
        <v>15</v>
      </c>
      <c r="I267" s="128">
        <f t="shared" ref="I267:I330" si="76">WEEKDAY(D267,2)</f>
        <v>2</v>
      </c>
      <c r="J267" s="188">
        <f t="shared" ref="J267:J330" si="77">D267</f>
        <v>46280</v>
      </c>
      <c r="K267" s="128" t="str" cm="1">
        <f t="array" ref="K267">IF(AND(I267&lt;7,INDEX(B_tblFTMatrix,$E267,$H267)="x"),"ft","")</f>
        <v/>
      </c>
      <c r="L267" s="128"/>
      <c r="M267" s="128"/>
      <c r="N267" s="128">
        <f t="shared" si="68"/>
        <v>1</v>
      </c>
      <c r="O267" s="128">
        <f t="shared" ref="O267:O330" si="78">IF(AND(L267&lt;&gt;"x",N267),1,0)</f>
        <v>1</v>
      </c>
      <c r="P267" s="227">
        <f t="shared" si="69"/>
        <v>8</v>
      </c>
      <c r="Q267" s="229" cm="1">
        <f t="array" ref="Q267">SUMPRODUCT((H_tblBGTage=I267)*(H_tblBGMnt=E267)*H_tblBG%)</f>
        <v>1</v>
      </c>
      <c r="R267" s="227">
        <f t="shared" ref="R267:R330" si="79">IFERROR(P267*Q267,0)</f>
        <v>8</v>
      </c>
      <c r="S267" s="233"/>
      <c r="T267" s="233"/>
      <c r="U267" s="232" cm="1">
        <f t="array" ref="U267">SUMPRODUCT((SEP!M_Verweiszeile=$H267)*SEP!M_ProdTag*(SEP!M_Monat=$E267))</f>
        <v>0</v>
      </c>
      <c r="V267" s="232" cm="1">
        <f t="array" ref="V267">SUMPRODUCT((SEP!M_Verweiszeile=$H267)*SEP!M_ProdN1*(SEP!M_Monat=$E267))</f>
        <v>0</v>
      </c>
      <c r="W267" s="232" cm="1">
        <f t="array" ref="W267">SUMPRODUCT((SEP!M_Verweiszeile=$H267)*SEP!M_ProdN2*(SEP!M_Monat=$E267))</f>
        <v>0</v>
      </c>
      <c r="X267" s="232" cm="1">
        <f t="array" ref="X267">SUMPRODUCT((SEP!M_Verweiszeile=$H267)*SEP!M_Reise*(SEP!M_Monat=$E267))</f>
        <v>0</v>
      </c>
      <c r="Y267" s="232" cm="1">
        <f t="array" ref="Y267">SUMPRODUCT((SEP!M_Verweiszeile=$H267)*SEP!M_Reiseabzug*(SEP!M_Monat=$E267))</f>
        <v>0</v>
      </c>
      <c r="Z267" s="232">
        <f t="shared" ref="Z267:Z330" si="80">SUM(U267:X267)-Y267</f>
        <v>0</v>
      </c>
      <c r="AA267" s="232">
        <f t="shared" si="70"/>
        <v>0</v>
      </c>
      <c r="AB267" s="232">
        <f t="shared" si="71"/>
        <v>0</v>
      </c>
      <c r="AC267" s="232">
        <f t="shared" ref="AC267:AC330" si="81">IF(OR(I267=7,K267="ft"),U267,0)</f>
        <v>0</v>
      </c>
      <c r="AD267" s="232">
        <f t="shared" ref="AD267:AD330" si="82">SUM(AA267:AC267)</f>
        <v>0</v>
      </c>
      <c r="AE267" s="232">
        <f t="shared" ref="AE267:AE330" si="83">Z267+AD267</f>
        <v>0</v>
      </c>
    </row>
    <row r="268" spans="3:31" s="185" customFormat="1" x14ac:dyDescent="0.2">
      <c r="C268" s="128">
        <v>259</v>
      </c>
      <c r="D268" s="186">
        <f t="shared" ref="D268:D331" si="84">D267+1</f>
        <v>46281</v>
      </c>
      <c r="E268" s="128">
        <f t="shared" si="72"/>
        <v>9</v>
      </c>
      <c r="F268" s="187">
        <f t="shared" si="73"/>
        <v>46281</v>
      </c>
      <c r="G268" s="128">
        <f t="shared" si="74"/>
        <v>38</v>
      </c>
      <c r="H268" s="128">
        <f t="shared" si="75"/>
        <v>16</v>
      </c>
      <c r="I268" s="128">
        <f t="shared" si="76"/>
        <v>3</v>
      </c>
      <c r="J268" s="188">
        <f t="shared" si="77"/>
        <v>46281</v>
      </c>
      <c r="K268" s="128" t="str" cm="1">
        <f t="array" ref="K268">IF(AND(I268&lt;7,INDEX(B_tblFTMatrix,$E268,$H268)="x"),"ft","")</f>
        <v/>
      </c>
      <c r="L268" s="128"/>
      <c r="M268" s="128"/>
      <c r="N268" s="128">
        <f t="shared" si="68"/>
        <v>1</v>
      </c>
      <c r="O268" s="128">
        <f t="shared" si="78"/>
        <v>1</v>
      </c>
      <c r="P268" s="227">
        <f t="shared" si="69"/>
        <v>8</v>
      </c>
      <c r="Q268" s="229" cm="1">
        <f t="array" ref="Q268">SUMPRODUCT((H_tblBGTage=I268)*(H_tblBGMnt=E268)*H_tblBG%)</f>
        <v>1</v>
      </c>
      <c r="R268" s="227">
        <f t="shared" si="79"/>
        <v>8</v>
      </c>
      <c r="S268" s="233"/>
      <c r="T268" s="233"/>
      <c r="U268" s="232" cm="1">
        <f t="array" ref="U268">SUMPRODUCT((SEP!M_Verweiszeile=$H268)*SEP!M_ProdTag*(SEP!M_Monat=$E268))</f>
        <v>0</v>
      </c>
      <c r="V268" s="232" cm="1">
        <f t="array" ref="V268">SUMPRODUCT((SEP!M_Verweiszeile=$H268)*SEP!M_ProdN1*(SEP!M_Monat=$E268))</f>
        <v>0</v>
      </c>
      <c r="W268" s="232" cm="1">
        <f t="array" ref="W268">SUMPRODUCT((SEP!M_Verweiszeile=$H268)*SEP!M_ProdN2*(SEP!M_Monat=$E268))</f>
        <v>0</v>
      </c>
      <c r="X268" s="232" cm="1">
        <f t="array" ref="X268">SUMPRODUCT((SEP!M_Verweiszeile=$H268)*SEP!M_Reise*(SEP!M_Monat=$E268))</f>
        <v>0</v>
      </c>
      <c r="Y268" s="232" cm="1">
        <f t="array" ref="Y268">SUMPRODUCT((SEP!M_Verweiszeile=$H268)*SEP!M_Reiseabzug*(SEP!M_Monat=$E268))</f>
        <v>0</v>
      </c>
      <c r="Z268" s="232">
        <f t="shared" si="80"/>
        <v>0</v>
      </c>
      <c r="AA268" s="232">
        <f t="shared" si="70"/>
        <v>0</v>
      </c>
      <c r="AB268" s="232">
        <f t="shared" si="71"/>
        <v>0</v>
      </c>
      <c r="AC268" s="232">
        <f t="shared" si="81"/>
        <v>0</v>
      </c>
      <c r="AD268" s="232">
        <f t="shared" si="82"/>
        <v>0</v>
      </c>
      <c r="AE268" s="232">
        <f t="shared" si="83"/>
        <v>0</v>
      </c>
    </row>
    <row r="269" spans="3:31" s="185" customFormat="1" x14ac:dyDescent="0.2">
      <c r="C269" s="128">
        <v>260</v>
      </c>
      <c r="D269" s="186">
        <f t="shared" si="84"/>
        <v>46282</v>
      </c>
      <c r="E269" s="128">
        <f t="shared" si="72"/>
        <v>9</v>
      </c>
      <c r="F269" s="187">
        <f t="shared" si="73"/>
        <v>46282</v>
      </c>
      <c r="G269" s="128">
        <f t="shared" si="74"/>
        <v>38</v>
      </c>
      <c r="H269" s="128">
        <f t="shared" si="75"/>
        <v>17</v>
      </c>
      <c r="I269" s="128">
        <f t="shared" si="76"/>
        <v>4</v>
      </c>
      <c r="J269" s="188">
        <f t="shared" si="77"/>
        <v>46282</v>
      </c>
      <c r="K269" s="128" t="str" cm="1">
        <f t="array" ref="K269">IF(AND(I269&lt;7,INDEX(B_tblFTMatrix,$E269,$H269)="x"),"ft","")</f>
        <v/>
      </c>
      <c r="L269" s="128"/>
      <c r="M269" s="128"/>
      <c r="N269" s="128">
        <f t="shared" si="68"/>
        <v>1</v>
      </c>
      <c r="O269" s="128">
        <f t="shared" si="78"/>
        <v>1</v>
      </c>
      <c r="P269" s="227">
        <f t="shared" si="69"/>
        <v>8</v>
      </c>
      <c r="Q269" s="229" cm="1">
        <f t="array" ref="Q269">SUMPRODUCT((H_tblBGTage=I269)*(H_tblBGMnt=E269)*H_tblBG%)</f>
        <v>1</v>
      </c>
      <c r="R269" s="227">
        <f t="shared" si="79"/>
        <v>8</v>
      </c>
      <c r="S269" s="233"/>
      <c r="T269" s="233"/>
      <c r="U269" s="232" cm="1">
        <f t="array" ref="U269">SUMPRODUCT((SEP!M_Verweiszeile=$H269)*SEP!M_ProdTag*(SEP!M_Monat=$E269))</f>
        <v>0</v>
      </c>
      <c r="V269" s="232" cm="1">
        <f t="array" ref="V269">SUMPRODUCT((SEP!M_Verweiszeile=$H269)*SEP!M_ProdN1*(SEP!M_Monat=$E269))</f>
        <v>0</v>
      </c>
      <c r="W269" s="232" cm="1">
        <f t="array" ref="W269">SUMPRODUCT((SEP!M_Verweiszeile=$H269)*SEP!M_ProdN2*(SEP!M_Monat=$E269))</f>
        <v>0</v>
      </c>
      <c r="X269" s="232" cm="1">
        <f t="array" ref="X269">SUMPRODUCT((SEP!M_Verweiszeile=$H269)*SEP!M_Reise*(SEP!M_Monat=$E269))</f>
        <v>0</v>
      </c>
      <c r="Y269" s="232" cm="1">
        <f t="array" ref="Y269">SUMPRODUCT((SEP!M_Verweiszeile=$H269)*SEP!M_Reiseabzug*(SEP!M_Monat=$E269))</f>
        <v>0</v>
      </c>
      <c r="Z269" s="232">
        <f t="shared" si="80"/>
        <v>0</v>
      </c>
      <c r="AA269" s="232">
        <f t="shared" si="70"/>
        <v>0</v>
      </c>
      <c r="AB269" s="232">
        <f t="shared" si="71"/>
        <v>0</v>
      </c>
      <c r="AC269" s="232">
        <f t="shared" si="81"/>
        <v>0</v>
      </c>
      <c r="AD269" s="232">
        <f t="shared" si="82"/>
        <v>0</v>
      </c>
      <c r="AE269" s="232">
        <f t="shared" si="83"/>
        <v>0</v>
      </c>
    </row>
    <row r="270" spans="3:31" s="185" customFormat="1" x14ac:dyDescent="0.2">
      <c r="C270" s="128">
        <v>261</v>
      </c>
      <c r="D270" s="186">
        <f t="shared" si="84"/>
        <v>46283</v>
      </c>
      <c r="E270" s="128">
        <f t="shared" si="72"/>
        <v>9</v>
      </c>
      <c r="F270" s="187">
        <f t="shared" si="73"/>
        <v>46283</v>
      </c>
      <c r="G270" s="128">
        <f t="shared" si="74"/>
        <v>38</v>
      </c>
      <c r="H270" s="128">
        <f t="shared" si="75"/>
        <v>18</v>
      </c>
      <c r="I270" s="128">
        <f t="shared" si="76"/>
        <v>5</v>
      </c>
      <c r="J270" s="188">
        <f t="shared" si="77"/>
        <v>46283</v>
      </c>
      <c r="K270" s="128" t="str" cm="1">
        <f t="array" ref="K270">IF(AND(I270&lt;7,INDEX(B_tblFTMatrix,$E270,$H270)="x"),"ft","")</f>
        <v/>
      </c>
      <c r="L270" s="128"/>
      <c r="M270" s="128"/>
      <c r="N270" s="128">
        <f t="shared" si="68"/>
        <v>1</v>
      </c>
      <c r="O270" s="128">
        <f t="shared" si="78"/>
        <v>1</v>
      </c>
      <c r="P270" s="227">
        <f t="shared" si="69"/>
        <v>8</v>
      </c>
      <c r="Q270" s="229" cm="1">
        <f t="array" ref="Q270">SUMPRODUCT((H_tblBGTage=I270)*(H_tblBGMnt=E270)*H_tblBG%)</f>
        <v>1</v>
      </c>
      <c r="R270" s="227">
        <f t="shared" si="79"/>
        <v>8</v>
      </c>
      <c r="S270" s="233"/>
      <c r="T270" s="233"/>
      <c r="U270" s="232" cm="1">
        <f t="array" ref="U270">SUMPRODUCT((SEP!M_Verweiszeile=$H270)*SEP!M_ProdTag*(SEP!M_Monat=$E270))</f>
        <v>0</v>
      </c>
      <c r="V270" s="232" cm="1">
        <f t="array" ref="V270">SUMPRODUCT((SEP!M_Verweiszeile=$H270)*SEP!M_ProdN1*(SEP!M_Monat=$E270))</f>
        <v>0</v>
      </c>
      <c r="W270" s="232" cm="1">
        <f t="array" ref="W270">SUMPRODUCT((SEP!M_Verweiszeile=$H270)*SEP!M_ProdN2*(SEP!M_Monat=$E270))</f>
        <v>0</v>
      </c>
      <c r="X270" s="232" cm="1">
        <f t="array" ref="X270">SUMPRODUCT((SEP!M_Verweiszeile=$H270)*SEP!M_Reise*(SEP!M_Monat=$E270))</f>
        <v>0</v>
      </c>
      <c r="Y270" s="232" cm="1">
        <f t="array" ref="Y270">SUMPRODUCT((SEP!M_Verweiszeile=$H270)*SEP!M_Reiseabzug*(SEP!M_Monat=$E270))</f>
        <v>0</v>
      </c>
      <c r="Z270" s="232">
        <f t="shared" si="80"/>
        <v>0</v>
      </c>
      <c r="AA270" s="232">
        <f t="shared" si="70"/>
        <v>0</v>
      </c>
      <c r="AB270" s="232">
        <f t="shared" si="71"/>
        <v>0</v>
      </c>
      <c r="AC270" s="232">
        <f t="shared" si="81"/>
        <v>0</v>
      </c>
      <c r="AD270" s="232">
        <f t="shared" si="82"/>
        <v>0</v>
      </c>
      <c r="AE270" s="232">
        <f t="shared" si="83"/>
        <v>0</v>
      </c>
    </row>
    <row r="271" spans="3:31" s="185" customFormat="1" x14ac:dyDescent="0.2">
      <c r="C271" s="128">
        <v>262</v>
      </c>
      <c r="D271" s="186">
        <f t="shared" si="84"/>
        <v>46284</v>
      </c>
      <c r="E271" s="128">
        <f t="shared" si="72"/>
        <v>9</v>
      </c>
      <c r="F271" s="187">
        <f t="shared" si="73"/>
        <v>46284</v>
      </c>
      <c r="G271" s="128">
        <f t="shared" si="74"/>
        <v>38</v>
      </c>
      <c r="H271" s="128">
        <f t="shared" si="75"/>
        <v>19</v>
      </c>
      <c r="I271" s="128">
        <f t="shared" si="76"/>
        <v>6</v>
      </c>
      <c r="J271" s="188">
        <f t="shared" si="77"/>
        <v>46284</v>
      </c>
      <c r="K271" s="128" t="str" cm="1">
        <f t="array" ref="K271">IF(AND(I271&lt;7,INDEX(B_tblFTMatrix,$E271,$H271)="x"),"ft","")</f>
        <v/>
      </c>
      <c r="L271" s="128"/>
      <c r="M271" s="128"/>
      <c r="N271" s="128">
        <f t="shared" si="68"/>
        <v>0</v>
      </c>
      <c r="O271" s="128">
        <f t="shared" si="78"/>
        <v>0</v>
      </c>
      <c r="P271" s="227">
        <f t="shared" si="69"/>
        <v>0</v>
      </c>
      <c r="Q271" s="229" cm="1">
        <f t="array" ref="Q271">SUMPRODUCT((H_tblBGTage=I271)*(H_tblBGMnt=E271)*H_tblBG%)</f>
        <v>0</v>
      </c>
      <c r="R271" s="227">
        <f t="shared" si="79"/>
        <v>0</v>
      </c>
      <c r="S271" s="233"/>
      <c r="T271" s="233"/>
      <c r="U271" s="232" cm="1">
        <f t="array" ref="U271">SUMPRODUCT((SEP!M_Verweiszeile=$H271)*SEP!M_ProdTag*(SEP!M_Monat=$E271))</f>
        <v>0</v>
      </c>
      <c r="V271" s="232" cm="1">
        <f t="array" ref="V271">SUMPRODUCT((SEP!M_Verweiszeile=$H271)*SEP!M_ProdN1*(SEP!M_Monat=$E271))</f>
        <v>0</v>
      </c>
      <c r="W271" s="232" cm="1">
        <f t="array" ref="W271">SUMPRODUCT((SEP!M_Verweiszeile=$H271)*SEP!M_ProdN2*(SEP!M_Monat=$E271))</f>
        <v>0</v>
      </c>
      <c r="X271" s="232" cm="1">
        <f t="array" ref="X271">SUMPRODUCT((SEP!M_Verweiszeile=$H271)*SEP!M_Reise*(SEP!M_Monat=$E271))</f>
        <v>0</v>
      </c>
      <c r="Y271" s="232" cm="1">
        <f t="array" ref="Y271">SUMPRODUCT((SEP!M_Verweiszeile=$H271)*SEP!M_Reiseabzug*(SEP!M_Monat=$E271))</f>
        <v>0</v>
      </c>
      <c r="Z271" s="232">
        <f t="shared" si="80"/>
        <v>0</v>
      </c>
      <c r="AA271" s="232">
        <f t="shared" si="70"/>
        <v>0</v>
      </c>
      <c r="AB271" s="232">
        <f t="shared" si="71"/>
        <v>0</v>
      </c>
      <c r="AC271" s="232">
        <f t="shared" si="81"/>
        <v>0</v>
      </c>
      <c r="AD271" s="232">
        <f t="shared" si="82"/>
        <v>0</v>
      </c>
      <c r="AE271" s="232">
        <f t="shared" si="83"/>
        <v>0</v>
      </c>
    </row>
    <row r="272" spans="3:31" s="185" customFormat="1" x14ac:dyDescent="0.2">
      <c r="C272" s="128">
        <v>263</v>
      </c>
      <c r="D272" s="186">
        <f t="shared" si="84"/>
        <v>46285</v>
      </c>
      <c r="E272" s="128">
        <f t="shared" si="72"/>
        <v>9</v>
      </c>
      <c r="F272" s="187">
        <f t="shared" si="73"/>
        <v>46285</v>
      </c>
      <c r="G272" s="128">
        <f t="shared" si="74"/>
        <v>38</v>
      </c>
      <c r="H272" s="128">
        <f t="shared" si="75"/>
        <v>20</v>
      </c>
      <c r="I272" s="128">
        <f t="shared" si="76"/>
        <v>7</v>
      </c>
      <c r="J272" s="188">
        <f t="shared" si="77"/>
        <v>46285</v>
      </c>
      <c r="K272" s="128" t="str" cm="1">
        <f t="array" ref="K272">IF(AND(I272&lt;7,INDEX(B_tblFTMatrix,$E272,$H272)="x"),"ft","")</f>
        <v/>
      </c>
      <c r="L272" s="128"/>
      <c r="M272" s="128"/>
      <c r="N272" s="128">
        <f t="shared" si="68"/>
        <v>0</v>
      </c>
      <c r="O272" s="128">
        <f t="shared" si="78"/>
        <v>0</v>
      </c>
      <c r="P272" s="227">
        <f t="shared" si="69"/>
        <v>0</v>
      </c>
      <c r="Q272" s="229" cm="1">
        <f t="array" ref="Q272">SUMPRODUCT((H_tblBGTage=I272)*(H_tblBGMnt=E272)*H_tblBG%)</f>
        <v>0</v>
      </c>
      <c r="R272" s="227">
        <f t="shared" si="79"/>
        <v>0</v>
      </c>
      <c r="S272" s="233"/>
      <c r="T272" s="233"/>
      <c r="U272" s="232" cm="1">
        <f t="array" ref="U272">SUMPRODUCT((SEP!M_Verweiszeile=$H272)*SEP!M_ProdTag*(SEP!M_Monat=$E272))</f>
        <v>0</v>
      </c>
      <c r="V272" s="232" cm="1">
        <f t="array" ref="V272">SUMPRODUCT((SEP!M_Verweiszeile=$H272)*SEP!M_ProdN1*(SEP!M_Monat=$E272))</f>
        <v>0</v>
      </c>
      <c r="W272" s="232" cm="1">
        <f t="array" ref="W272">SUMPRODUCT((SEP!M_Verweiszeile=$H272)*SEP!M_ProdN2*(SEP!M_Monat=$E272))</f>
        <v>0</v>
      </c>
      <c r="X272" s="232" cm="1">
        <f t="array" ref="X272">SUMPRODUCT((SEP!M_Verweiszeile=$H272)*SEP!M_Reise*(SEP!M_Monat=$E272))</f>
        <v>0</v>
      </c>
      <c r="Y272" s="232" cm="1">
        <f t="array" ref="Y272">SUMPRODUCT((SEP!M_Verweiszeile=$H272)*SEP!M_Reiseabzug*(SEP!M_Monat=$E272))</f>
        <v>0</v>
      </c>
      <c r="Z272" s="232">
        <f t="shared" si="80"/>
        <v>0</v>
      </c>
      <c r="AA272" s="232">
        <f t="shared" si="70"/>
        <v>0</v>
      </c>
      <c r="AB272" s="232">
        <f t="shared" si="71"/>
        <v>0</v>
      </c>
      <c r="AC272" s="232">
        <f t="shared" si="81"/>
        <v>0</v>
      </c>
      <c r="AD272" s="232">
        <f t="shared" si="82"/>
        <v>0</v>
      </c>
      <c r="AE272" s="232">
        <f t="shared" si="83"/>
        <v>0</v>
      </c>
    </row>
    <row r="273" spans="3:31" s="185" customFormat="1" x14ac:dyDescent="0.2">
      <c r="C273" s="128">
        <v>264</v>
      </c>
      <c r="D273" s="186">
        <f t="shared" si="84"/>
        <v>46286</v>
      </c>
      <c r="E273" s="128">
        <f t="shared" si="72"/>
        <v>9</v>
      </c>
      <c r="F273" s="187">
        <f t="shared" si="73"/>
        <v>46286</v>
      </c>
      <c r="G273" s="128">
        <f t="shared" si="74"/>
        <v>39</v>
      </c>
      <c r="H273" s="128">
        <f t="shared" si="75"/>
        <v>21</v>
      </c>
      <c r="I273" s="128">
        <f t="shared" si="76"/>
        <v>1</v>
      </c>
      <c r="J273" s="188">
        <f t="shared" si="77"/>
        <v>46286</v>
      </c>
      <c r="K273" s="128" t="str" cm="1">
        <f t="array" ref="K273">IF(AND(I273&lt;7,INDEX(B_tblFTMatrix,$E273,$H273)="x"),"ft","")</f>
        <v/>
      </c>
      <c r="L273" s="128"/>
      <c r="M273" s="128"/>
      <c r="N273" s="128">
        <f t="shared" si="68"/>
        <v>1</v>
      </c>
      <c r="O273" s="128">
        <f t="shared" si="78"/>
        <v>1</v>
      </c>
      <c r="P273" s="227">
        <f t="shared" si="69"/>
        <v>8</v>
      </c>
      <c r="Q273" s="229" cm="1">
        <f t="array" ref="Q273">SUMPRODUCT((H_tblBGTage=I273)*(H_tblBGMnt=E273)*H_tblBG%)</f>
        <v>1</v>
      </c>
      <c r="R273" s="227">
        <f t="shared" si="79"/>
        <v>8</v>
      </c>
      <c r="S273" s="233"/>
      <c r="T273" s="233"/>
      <c r="U273" s="232" cm="1">
        <f t="array" ref="U273">SUMPRODUCT((SEP!M_Verweiszeile=$H273)*SEP!M_ProdTag*(SEP!M_Monat=$E273))</f>
        <v>0</v>
      </c>
      <c r="V273" s="232" cm="1">
        <f t="array" ref="V273">SUMPRODUCT((SEP!M_Verweiszeile=$H273)*SEP!M_ProdN1*(SEP!M_Monat=$E273))</f>
        <v>0</v>
      </c>
      <c r="W273" s="232" cm="1">
        <f t="array" ref="W273">SUMPRODUCT((SEP!M_Verweiszeile=$H273)*SEP!M_ProdN2*(SEP!M_Monat=$E273))</f>
        <v>0</v>
      </c>
      <c r="X273" s="232" cm="1">
        <f t="array" ref="X273">SUMPRODUCT((SEP!M_Verweiszeile=$H273)*SEP!M_Reise*(SEP!M_Monat=$E273))</f>
        <v>0</v>
      </c>
      <c r="Y273" s="232" cm="1">
        <f t="array" ref="Y273">SUMPRODUCT((SEP!M_Verweiszeile=$H273)*SEP!M_Reiseabzug*(SEP!M_Monat=$E273))</f>
        <v>0</v>
      </c>
      <c r="Z273" s="232">
        <f t="shared" si="80"/>
        <v>0</v>
      </c>
      <c r="AA273" s="232">
        <f t="shared" si="70"/>
        <v>0</v>
      </c>
      <c r="AB273" s="232">
        <f t="shared" si="71"/>
        <v>0</v>
      </c>
      <c r="AC273" s="232">
        <f t="shared" si="81"/>
        <v>0</v>
      </c>
      <c r="AD273" s="232">
        <f t="shared" si="82"/>
        <v>0</v>
      </c>
      <c r="AE273" s="232">
        <f t="shared" si="83"/>
        <v>0</v>
      </c>
    </row>
    <row r="274" spans="3:31" s="185" customFormat="1" x14ac:dyDescent="0.2">
      <c r="C274" s="128">
        <v>265</v>
      </c>
      <c r="D274" s="186">
        <f t="shared" si="84"/>
        <v>46287</v>
      </c>
      <c r="E274" s="128">
        <f t="shared" si="72"/>
        <v>9</v>
      </c>
      <c r="F274" s="187">
        <f t="shared" si="73"/>
        <v>46287</v>
      </c>
      <c r="G274" s="128">
        <f t="shared" si="74"/>
        <v>39</v>
      </c>
      <c r="H274" s="128">
        <f t="shared" si="75"/>
        <v>22</v>
      </c>
      <c r="I274" s="128">
        <f t="shared" si="76"/>
        <v>2</v>
      </c>
      <c r="J274" s="188">
        <f t="shared" si="77"/>
        <v>46287</v>
      </c>
      <c r="K274" s="128" t="str" cm="1">
        <f t="array" ref="K274">IF(AND(I274&lt;7,INDEX(B_tblFTMatrix,$E274,$H274)="x"),"ft","")</f>
        <v/>
      </c>
      <c r="L274" s="128"/>
      <c r="M274" s="128"/>
      <c r="N274" s="128">
        <f t="shared" si="68"/>
        <v>1</v>
      </c>
      <c r="O274" s="128">
        <f t="shared" si="78"/>
        <v>1</v>
      </c>
      <c r="P274" s="227">
        <f t="shared" si="69"/>
        <v>8</v>
      </c>
      <c r="Q274" s="229" cm="1">
        <f t="array" ref="Q274">SUMPRODUCT((H_tblBGTage=I274)*(H_tblBGMnt=E274)*H_tblBG%)</f>
        <v>1</v>
      </c>
      <c r="R274" s="227">
        <f t="shared" si="79"/>
        <v>8</v>
      </c>
      <c r="S274" s="233"/>
      <c r="T274" s="233"/>
      <c r="U274" s="232" cm="1">
        <f t="array" ref="U274">SUMPRODUCT((SEP!M_Verweiszeile=$H274)*SEP!M_ProdTag*(SEP!M_Monat=$E274))</f>
        <v>0</v>
      </c>
      <c r="V274" s="232" cm="1">
        <f t="array" ref="V274">SUMPRODUCT((SEP!M_Verweiszeile=$H274)*SEP!M_ProdN1*(SEP!M_Monat=$E274))</f>
        <v>0</v>
      </c>
      <c r="W274" s="232" cm="1">
        <f t="array" ref="W274">SUMPRODUCT((SEP!M_Verweiszeile=$H274)*SEP!M_ProdN2*(SEP!M_Monat=$E274))</f>
        <v>0</v>
      </c>
      <c r="X274" s="232" cm="1">
        <f t="array" ref="X274">SUMPRODUCT((SEP!M_Verweiszeile=$H274)*SEP!M_Reise*(SEP!M_Monat=$E274))</f>
        <v>0</v>
      </c>
      <c r="Y274" s="232" cm="1">
        <f t="array" ref="Y274">SUMPRODUCT((SEP!M_Verweiszeile=$H274)*SEP!M_Reiseabzug*(SEP!M_Monat=$E274))</f>
        <v>0</v>
      </c>
      <c r="Z274" s="232">
        <f t="shared" si="80"/>
        <v>0</v>
      </c>
      <c r="AA274" s="232">
        <f t="shared" si="70"/>
        <v>0</v>
      </c>
      <c r="AB274" s="232">
        <f t="shared" si="71"/>
        <v>0</v>
      </c>
      <c r="AC274" s="232">
        <f t="shared" si="81"/>
        <v>0</v>
      </c>
      <c r="AD274" s="232">
        <f t="shared" si="82"/>
        <v>0</v>
      </c>
      <c r="AE274" s="232">
        <f t="shared" si="83"/>
        <v>0</v>
      </c>
    </row>
    <row r="275" spans="3:31" s="185" customFormat="1" x14ac:dyDescent="0.2">
      <c r="C275" s="128">
        <v>266</v>
      </c>
      <c r="D275" s="186">
        <f t="shared" si="84"/>
        <v>46288</v>
      </c>
      <c r="E275" s="128">
        <f t="shared" si="72"/>
        <v>9</v>
      </c>
      <c r="F275" s="187">
        <f t="shared" si="73"/>
        <v>46288</v>
      </c>
      <c r="G275" s="128">
        <f t="shared" si="74"/>
        <v>39</v>
      </c>
      <c r="H275" s="128">
        <f t="shared" si="75"/>
        <v>23</v>
      </c>
      <c r="I275" s="128">
        <f t="shared" si="76"/>
        <v>3</v>
      </c>
      <c r="J275" s="188">
        <f t="shared" si="77"/>
        <v>46288</v>
      </c>
      <c r="K275" s="128" t="str" cm="1">
        <f t="array" ref="K275">IF(AND(I275&lt;7,INDEX(B_tblFTMatrix,$E275,$H275)="x"),"ft","")</f>
        <v/>
      </c>
      <c r="L275" s="128"/>
      <c r="M275" s="128"/>
      <c r="N275" s="128">
        <f t="shared" si="68"/>
        <v>1</v>
      </c>
      <c r="O275" s="128">
        <f t="shared" si="78"/>
        <v>1</v>
      </c>
      <c r="P275" s="227">
        <f t="shared" si="69"/>
        <v>8</v>
      </c>
      <c r="Q275" s="229" cm="1">
        <f t="array" ref="Q275">SUMPRODUCT((H_tblBGTage=I275)*(H_tblBGMnt=E275)*H_tblBG%)</f>
        <v>1</v>
      </c>
      <c r="R275" s="227">
        <f t="shared" si="79"/>
        <v>8</v>
      </c>
      <c r="S275" s="233"/>
      <c r="T275" s="233"/>
      <c r="U275" s="232" cm="1">
        <f t="array" ref="U275">SUMPRODUCT((SEP!M_Verweiszeile=$H275)*SEP!M_ProdTag*(SEP!M_Monat=$E275))</f>
        <v>0</v>
      </c>
      <c r="V275" s="232" cm="1">
        <f t="array" ref="V275">SUMPRODUCT((SEP!M_Verweiszeile=$H275)*SEP!M_ProdN1*(SEP!M_Monat=$E275))</f>
        <v>0</v>
      </c>
      <c r="W275" s="232" cm="1">
        <f t="array" ref="W275">SUMPRODUCT((SEP!M_Verweiszeile=$H275)*SEP!M_ProdN2*(SEP!M_Monat=$E275))</f>
        <v>0</v>
      </c>
      <c r="X275" s="232" cm="1">
        <f t="array" ref="X275">SUMPRODUCT((SEP!M_Verweiszeile=$H275)*SEP!M_Reise*(SEP!M_Monat=$E275))</f>
        <v>0</v>
      </c>
      <c r="Y275" s="232" cm="1">
        <f t="array" ref="Y275">SUMPRODUCT((SEP!M_Verweiszeile=$H275)*SEP!M_Reiseabzug*(SEP!M_Monat=$E275))</f>
        <v>0</v>
      </c>
      <c r="Z275" s="232">
        <f t="shared" si="80"/>
        <v>0</v>
      </c>
      <c r="AA275" s="232">
        <f t="shared" si="70"/>
        <v>0</v>
      </c>
      <c r="AB275" s="232">
        <f t="shared" si="71"/>
        <v>0</v>
      </c>
      <c r="AC275" s="232">
        <f t="shared" si="81"/>
        <v>0</v>
      </c>
      <c r="AD275" s="232">
        <f t="shared" si="82"/>
        <v>0</v>
      </c>
      <c r="AE275" s="232">
        <f t="shared" si="83"/>
        <v>0</v>
      </c>
    </row>
    <row r="276" spans="3:31" s="185" customFormat="1" x14ac:dyDescent="0.2">
      <c r="C276" s="128">
        <v>267</v>
      </c>
      <c r="D276" s="186">
        <f t="shared" si="84"/>
        <v>46289</v>
      </c>
      <c r="E276" s="128">
        <f t="shared" si="72"/>
        <v>9</v>
      </c>
      <c r="F276" s="187">
        <f t="shared" si="73"/>
        <v>46289</v>
      </c>
      <c r="G276" s="128">
        <f t="shared" si="74"/>
        <v>39</v>
      </c>
      <c r="H276" s="128">
        <f t="shared" si="75"/>
        <v>24</v>
      </c>
      <c r="I276" s="128">
        <f t="shared" si="76"/>
        <v>4</v>
      </c>
      <c r="J276" s="188">
        <f t="shared" si="77"/>
        <v>46289</v>
      </c>
      <c r="K276" s="128" t="str" cm="1">
        <f t="array" ref="K276">IF(AND(I276&lt;7,INDEX(B_tblFTMatrix,$E276,$H276)="x"),"ft","")</f>
        <v/>
      </c>
      <c r="L276" s="128"/>
      <c r="M276" s="128"/>
      <c r="N276" s="128">
        <f t="shared" si="68"/>
        <v>1</v>
      </c>
      <c r="O276" s="128">
        <f t="shared" si="78"/>
        <v>1</v>
      </c>
      <c r="P276" s="227">
        <f t="shared" si="69"/>
        <v>8</v>
      </c>
      <c r="Q276" s="229" cm="1">
        <f t="array" ref="Q276">SUMPRODUCT((H_tblBGTage=I276)*(H_tblBGMnt=E276)*H_tblBG%)</f>
        <v>1</v>
      </c>
      <c r="R276" s="227">
        <f t="shared" si="79"/>
        <v>8</v>
      </c>
      <c r="S276" s="233"/>
      <c r="T276" s="233"/>
      <c r="U276" s="232" cm="1">
        <f t="array" ref="U276">SUMPRODUCT((SEP!M_Verweiszeile=$H276)*SEP!M_ProdTag*(SEP!M_Monat=$E276))</f>
        <v>0</v>
      </c>
      <c r="V276" s="232" cm="1">
        <f t="array" ref="V276">SUMPRODUCT((SEP!M_Verweiszeile=$H276)*SEP!M_ProdN1*(SEP!M_Monat=$E276))</f>
        <v>0</v>
      </c>
      <c r="W276" s="232" cm="1">
        <f t="array" ref="W276">SUMPRODUCT((SEP!M_Verweiszeile=$H276)*SEP!M_ProdN2*(SEP!M_Monat=$E276))</f>
        <v>0</v>
      </c>
      <c r="X276" s="232" cm="1">
        <f t="array" ref="X276">SUMPRODUCT((SEP!M_Verweiszeile=$H276)*SEP!M_Reise*(SEP!M_Monat=$E276))</f>
        <v>0</v>
      </c>
      <c r="Y276" s="232" cm="1">
        <f t="array" ref="Y276">SUMPRODUCT((SEP!M_Verweiszeile=$H276)*SEP!M_Reiseabzug*(SEP!M_Monat=$E276))</f>
        <v>0</v>
      </c>
      <c r="Z276" s="232">
        <f t="shared" si="80"/>
        <v>0</v>
      </c>
      <c r="AA276" s="232">
        <f t="shared" si="70"/>
        <v>0</v>
      </c>
      <c r="AB276" s="232">
        <f t="shared" si="71"/>
        <v>0</v>
      </c>
      <c r="AC276" s="232">
        <f t="shared" si="81"/>
        <v>0</v>
      </c>
      <c r="AD276" s="232">
        <f t="shared" si="82"/>
        <v>0</v>
      </c>
      <c r="AE276" s="232">
        <f t="shared" si="83"/>
        <v>0</v>
      </c>
    </row>
    <row r="277" spans="3:31" s="185" customFormat="1" x14ac:dyDescent="0.2">
      <c r="C277" s="128">
        <v>268</v>
      </c>
      <c r="D277" s="186">
        <f t="shared" si="84"/>
        <v>46290</v>
      </c>
      <c r="E277" s="128">
        <f t="shared" si="72"/>
        <v>9</v>
      </c>
      <c r="F277" s="187">
        <f t="shared" si="73"/>
        <v>46290</v>
      </c>
      <c r="G277" s="128">
        <f t="shared" si="74"/>
        <v>39</v>
      </c>
      <c r="H277" s="128">
        <f t="shared" si="75"/>
        <v>25</v>
      </c>
      <c r="I277" s="128">
        <f t="shared" si="76"/>
        <v>5</v>
      </c>
      <c r="J277" s="188">
        <f t="shared" si="77"/>
        <v>46290</v>
      </c>
      <c r="K277" s="128" t="str" cm="1">
        <f t="array" ref="K277">IF(AND(I277&lt;7,INDEX(B_tblFTMatrix,$E277,$H277)="x"),"ft","")</f>
        <v/>
      </c>
      <c r="L277" s="128"/>
      <c r="M277" s="128"/>
      <c r="N277" s="128">
        <f t="shared" si="68"/>
        <v>1</v>
      </c>
      <c r="O277" s="128">
        <f t="shared" si="78"/>
        <v>1</v>
      </c>
      <c r="P277" s="227">
        <f t="shared" si="69"/>
        <v>8</v>
      </c>
      <c r="Q277" s="229" cm="1">
        <f t="array" ref="Q277">SUMPRODUCT((H_tblBGTage=I277)*(H_tblBGMnt=E277)*H_tblBG%)</f>
        <v>1</v>
      </c>
      <c r="R277" s="227">
        <f t="shared" si="79"/>
        <v>8</v>
      </c>
      <c r="S277" s="233"/>
      <c r="T277" s="233"/>
      <c r="U277" s="232" cm="1">
        <f t="array" ref="U277">SUMPRODUCT((SEP!M_Verweiszeile=$H277)*SEP!M_ProdTag*(SEP!M_Monat=$E277))</f>
        <v>0</v>
      </c>
      <c r="V277" s="232" cm="1">
        <f t="array" ref="V277">SUMPRODUCT((SEP!M_Verweiszeile=$H277)*SEP!M_ProdN1*(SEP!M_Monat=$E277))</f>
        <v>0</v>
      </c>
      <c r="W277" s="232" cm="1">
        <f t="array" ref="W277">SUMPRODUCT((SEP!M_Verweiszeile=$H277)*SEP!M_ProdN2*(SEP!M_Monat=$E277))</f>
        <v>0</v>
      </c>
      <c r="X277" s="232" cm="1">
        <f t="array" ref="X277">SUMPRODUCT((SEP!M_Verweiszeile=$H277)*SEP!M_Reise*(SEP!M_Monat=$E277))</f>
        <v>0</v>
      </c>
      <c r="Y277" s="232" cm="1">
        <f t="array" ref="Y277">SUMPRODUCT((SEP!M_Verweiszeile=$H277)*SEP!M_Reiseabzug*(SEP!M_Monat=$E277))</f>
        <v>0</v>
      </c>
      <c r="Z277" s="232">
        <f t="shared" si="80"/>
        <v>0</v>
      </c>
      <c r="AA277" s="232">
        <f t="shared" si="70"/>
        <v>0</v>
      </c>
      <c r="AB277" s="232">
        <f t="shared" si="71"/>
        <v>0</v>
      </c>
      <c r="AC277" s="232">
        <f t="shared" si="81"/>
        <v>0</v>
      </c>
      <c r="AD277" s="232">
        <f t="shared" si="82"/>
        <v>0</v>
      </c>
      <c r="AE277" s="232">
        <f t="shared" si="83"/>
        <v>0</v>
      </c>
    </row>
    <row r="278" spans="3:31" s="185" customFormat="1" x14ac:dyDescent="0.2">
      <c r="C278" s="128">
        <v>269</v>
      </c>
      <c r="D278" s="186">
        <f t="shared" si="84"/>
        <v>46291</v>
      </c>
      <c r="E278" s="128">
        <f t="shared" si="72"/>
        <v>9</v>
      </c>
      <c r="F278" s="187">
        <f t="shared" si="73"/>
        <v>46291</v>
      </c>
      <c r="G278" s="128">
        <f t="shared" si="74"/>
        <v>39</v>
      </c>
      <c r="H278" s="128">
        <f t="shared" si="75"/>
        <v>26</v>
      </c>
      <c r="I278" s="128">
        <f t="shared" si="76"/>
        <v>6</v>
      </c>
      <c r="J278" s="188">
        <f t="shared" si="77"/>
        <v>46291</v>
      </c>
      <c r="K278" s="128" t="str" cm="1">
        <f t="array" ref="K278">IF(AND(I278&lt;7,INDEX(B_tblFTMatrix,$E278,$H278)="x"),"ft","")</f>
        <v/>
      </c>
      <c r="L278" s="128"/>
      <c r="M278" s="128"/>
      <c r="N278" s="128">
        <f t="shared" si="68"/>
        <v>0</v>
      </c>
      <c r="O278" s="128">
        <f t="shared" si="78"/>
        <v>0</v>
      </c>
      <c r="P278" s="227">
        <f t="shared" si="69"/>
        <v>0</v>
      </c>
      <c r="Q278" s="229" cm="1">
        <f t="array" ref="Q278">SUMPRODUCT((H_tblBGTage=I278)*(H_tblBGMnt=E278)*H_tblBG%)</f>
        <v>0</v>
      </c>
      <c r="R278" s="227">
        <f t="shared" si="79"/>
        <v>0</v>
      </c>
      <c r="S278" s="233"/>
      <c r="T278" s="233"/>
      <c r="U278" s="232" cm="1">
        <f t="array" ref="U278">SUMPRODUCT((SEP!M_Verweiszeile=$H278)*SEP!M_ProdTag*(SEP!M_Monat=$E278))</f>
        <v>0</v>
      </c>
      <c r="V278" s="232" cm="1">
        <f t="array" ref="V278">SUMPRODUCT((SEP!M_Verweiszeile=$H278)*SEP!M_ProdN1*(SEP!M_Monat=$E278))</f>
        <v>0</v>
      </c>
      <c r="W278" s="232" cm="1">
        <f t="array" ref="W278">SUMPRODUCT((SEP!M_Verweiszeile=$H278)*SEP!M_ProdN2*(SEP!M_Monat=$E278))</f>
        <v>0</v>
      </c>
      <c r="X278" s="232" cm="1">
        <f t="array" ref="X278">SUMPRODUCT((SEP!M_Verweiszeile=$H278)*SEP!M_Reise*(SEP!M_Monat=$E278))</f>
        <v>0</v>
      </c>
      <c r="Y278" s="232" cm="1">
        <f t="array" ref="Y278">SUMPRODUCT((SEP!M_Verweiszeile=$H278)*SEP!M_Reiseabzug*(SEP!M_Monat=$E278))</f>
        <v>0</v>
      </c>
      <c r="Z278" s="232">
        <f t="shared" si="80"/>
        <v>0</v>
      </c>
      <c r="AA278" s="232">
        <f t="shared" si="70"/>
        <v>0</v>
      </c>
      <c r="AB278" s="232">
        <f t="shared" si="71"/>
        <v>0</v>
      </c>
      <c r="AC278" s="232">
        <f t="shared" si="81"/>
        <v>0</v>
      </c>
      <c r="AD278" s="232">
        <f t="shared" si="82"/>
        <v>0</v>
      </c>
      <c r="AE278" s="232">
        <f t="shared" si="83"/>
        <v>0</v>
      </c>
    </row>
    <row r="279" spans="3:31" s="185" customFormat="1" x14ac:dyDescent="0.2">
      <c r="C279" s="128">
        <v>270</v>
      </c>
      <c r="D279" s="186">
        <f t="shared" si="84"/>
        <v>46292</v>
      </c>
      <c r="E279" s="128">
        <f t="shared" si="72"/>
        <v>9</v>
      </c>
      <c r="F279" s="187">
        <f t="shared" si="73"/>
        <v>46292</v>
      </c>
      <c r="G279" s="128">
        <f t="shared" si="74"/>
        <v>39</v>
      </c>
      <c r="H279" s="128">
        <f t="shared" si="75"/>
        <v>27</v>
      </c>
      <c r="I279" s="128">
        <f t="shared" si="76"/>
        <v>7</v>
      </c>
      <c r="J279" s="188">
        <f t="shared" si="77"/>
        <v>46292</v>
      </c>
      <c r="K279" s="128" t="str" cm="1">
        <f t="array" ref="K279">IF(AND(I279&lt;7,INDEX(B_tblFTMatrix,$E279,$H279)="x"),"ft","")</f>
        <v/>
      </c>
      <c r="L279" s="128"/>
      <c r="M279" s="128"/>
      <c r="N279" s="128">
        <f t="shared" si="68"/>
        <v>0</v>
      </c>
      <c r="O279" s="128">
        <f t="shared" si="78"/>
        <v>0</v>
      </c>
      <c r="P279" s="227">
        <f t="shared" si="69"/>
        <v>0</v>
      </c>
      <c r="Q279" s="229" cm="1">
        <f t="array" ref="Q279">SUMPRODUCT((H_tblBGTage=I279)*(H_tblBGMnt=E279)*H_tblBG%)</f>
        <v>0</v>
      </c>
      <c r="R279" s="227">
        <f t="shared" si="79"/>
        <v>0</v>
      </c>
      <c r="S279" s="233"/>
      <c r="T279" s="233"/>
      <c r="U279" s="232" cm="1">
        <f t="array" ref="U279">SUMPRODUCT((SEP!M_Verweiszeile=$H279)*SEP!M_ProdTag*(SEP!M_Monat=$E279))</f>
        <v>0</v>
      </c>
      <c r="V279" s="232" cm="1">
        <f t="array" ref="V279">SUMPRODUCT((SEP!M_Verweiszeile=$H279)*SEP!M_ProdN1*(SEP!M_Monat=$E279))</f>
        <v>0</v>
      </c>
      <c r="W279" s="232" cm="1">
        <f t="array" ref="W279">SUMPRODUCT((SEP!M_Verweiszeile=$H279)*SEP!M_ProdN2*(SEP!M_Monat=$E279))</f>
        <v>0</v>
      </c>
      <c r="X279" s="232" cm="1">
        <f t="array" ref="X279">SUMPRODUCT((SEP!M_Verweiszeile=$H279)*SEP!M_Reise*(SEP!M_Monat=$E279))</f>
        <v>0</v>
      </c>
      <c r="Y279" s="232" cm="1">
        <f t="array" ref="Y279">SUMPRODUCT((SEP!M_Verweiszeile=$H279)*SEP!M_Reiseabzug*(SEP!M_Monat=$E279))</f>
        <v>0</v>
      </c>
      <c r="Z279" s="232">
        <f t="shared" si="80"/>
        <v>0</v>
      </c>
      <c r="AA279" s="232">
        <f t="shared" si="70"/>
        <v>0</v>
      </c>
      <c r="AB279" s="232">
        <f t="shared" si="71"/>
        <v>0</v>
      </c>
      <c r="AC279" s="232">
        <f t="shared" si="81"/>
        <v>0</v>
      </c>
      <c r="AD279" s="232">
        <f t="shared" si="82"/>
        <v>0</v>
      </c>
      <c r="AE279" s="232">
        <f t="shared" si="83"/>
        <v>0</v>
      </c>
    </row>
    <row r="280" spans="3:31" s="185" customFormat="1" x14ac:dyDescent="0.2">
      <c r="C280" s="128">
        <v>271</v>
      </c>
      <c r="D280" s="186">
        <f t="shared" si="84"/>
        <v>46293</v>
      </c>
      <c r="E280" s="128">
        <f t="shared" si="72"/>
        <v>9</v>
      </c>
      <c r="F280" s="187">
        <f t="shared" si="73"/>
        <v>46293</v>
      </c>
      <c r="G280" s="128">
        <f t="shared" si="74"/>
        <v>40</v>
      </c>
      <c r="H280" s="128">
        <f t="shared" si="75"/>
        <v>28</v>
      </c>
      <c r="I280" s="128">
        <f t="shared" si="76"/>
        <v>1</v>
      </c>
      <c r="J280" s="188">
        <f t="shared" si="77"/>
        <v>46293</v>
      </c>
      <c r="K280" s="128" t="str" cm="1">
        <f t="array" ref="K280">IF(AND(I280&lt;7,INDEX(B_tblFTMatrix,$E280,$H280)="x"),"ft","")</f>
        <v/>
      </c>
      <c r="L280" s="128"/>
      <c r="M280" s="128"/>
      <c r="N280" s="128">
        <f t="shared" si="68"/>
        <v>1</v>
      </c>
      <c r="O280" s="128">
        <f t="shared" si="78"/>
        <v>1</v>
      </c>
      <c r="P280" s="227">
        <f t="shared" si="69"/>
        <v>8</v>
      </c>
      <c r="Q280" s="229" cm="1">
        <f t="array" ref="Q280">SUMPRODUCT((H_tblBGTage=I280)*(H_tblBGMnt=E280)*H_tblBG%)</f>
        <v>1</v>
      </c>
      <c r="R280" s="227">
        <f t="shared" si="79"/>
        <v>8</v>
      </c>
      <c r="S280" s="233"/>
      <c r="T280" s="233"/>
      <c r="U280" s="232" cm="1">
        <f t="array" ref="U280">SUMPRODUCT((SEP!M_Verweiszeile=$H280)*SEP!M_ProdTag*(SEP!M_Monat=$E280))</f>
        <v>0</v>
      </c>
      <c r="V280" s="232" cm="1">
        <f t="array" ref="V280">SUMPRODUCT((SEP!M_Verweiszeile=$H280)*SEP!M_ProdN1*(SEP!M_Monat=$E280))</f>
        <v>0</v>
      </c>
      <c r="W280" s="232" cm="1">
        <f t="array" ref="W280">SUMPRODUCT((SEP!M_Verweiszeile=$H280)*SEP!M_ProdN2*(SEP!M_Monat=$E280))</f>
        <v>0</v>
      </c>
      <c r="X280" s="232" cm="1">
        <f t="array" ref="X280">SUMPRODUCT((SEP!M_Verweiszeile=$H280)*SEP!M_Reise*(SEP!M_Monat=$E280))</f>
        <v>0</v>
      </c>
      <c r="Y280" s="232" cm="1">
        <f t="array" ref="Y280">SUMPRODUCT((SEP!M_Verweiszeile=$H280)*SEP!M_Reiseabzug*(SEP!M_Monat=$E280))</f>
        <v>0</v>
      </c>
      <c r="Z280" s="232">
        <f t="shared" si="80"/>
        <v>0</v>
      </c>
      <c r="AA280" s="232">
        <f t="shared" si="70"/>
        <v>0</v>
      </c>
      <c r="AB280" s="232">
        <f t="shared" si="71"/>
        <v>0</v>
      </c>
      <c r="AC280" s="232">
        <f t="shared" si="81"/>
        <v>0</v>
      </c>
      <c r="AD280" s="232">
        <f t="shared" si="82"/>
        <v>0</v>
      </c>
      <c r="AE280" s="232">
        <f t="shared" si="83"/>
        <v>0</v>
      </c>
    </row>
    <row r="281" spans="3:31" s="185" customFormat="1" x14ac:dyDescent="0.2">
      <c r="C281" s="128">
        <v>272</v>
      </c>
      <c r="D281" s="186">
        <f t="shared" si="84"/>
        <v>46294</v>
      </c>
      <c r="E281" s="128">
        <f t="shared" si="72"/>
        <v>9</v>
      </c>
      <c r="F281" s="187">
        <f t="shared" si="73"/>
        <v>46294</v>
      </c>
      <c r="G281" s="128">
        <f t="shared" si="74"/>
        <v>40</v>
      </c>
      <c r="H281" s="128">
        <f t="shared" si="75"/>
        <v>29</v>
      </c>
      <c r="I281" s="128">
        <f t="shared" si="76"/>
        <v>2</v>
      </c>
      <c r="J281" s="188">
        <f t="shared" si="77"/>
        <v>46294</v>
      </c>
      <c r="K281" s="128" t="str" cm="1">
        <f t="array" ref="K281">IF(AND(I281&lt;7,INDEX(B_tblFTMatrix,$E281,$H281)="x"),"ft","")</f>
        <v/>
      </c>
      <c r="L281" s="128"/>
      <c r="M281" s="128"/>
      <c r="N281" s="128">
        <f t="shared" si="68"/>
        <v>1</v>
      </c>
      <c r="O281" s="128">
        <f t="shared" si="78"/>
        <v>1</v>
      </c>
      <c r="P281" s="227">
        <f t="shared" si="69"/>
        <v>8</v>
      </c>
      <c r="Q281" s="229" cm="1">
        <f t="array" ref="Q281">SUMPRODUCT((H_tblBGTage=I281)*(H_tblBGMnt=E281)*H_tblBG%)</f>
        <v>1</v>
      </c>
      <c r="R281" s="227">
        <f t="shared" si="79"/>
        <v>8</v>
      </c>
      <c r="S281" s="233"/>
      <c r="T281" s="233"/>
      <c r="U281" s="232" cm="1">
        <f t="array" ref="U281">SUMPRODUCT((SEP!M_Verweiszeile=$H281)*SEP!M_ProdTag*(SEP!M_Monat=$E281))</f>
        <v>0</v>
      </c>
      <c r="V281" s="232" cm="1">
        <f t="array" ref="V281">SUMPRODUCT((SEP!M_Verweiszeile=$H281)*SEP!M_ProdN1*(SEP!M_Monat=$E281))</f>
        <v>0</v>
      </c>
      <c r="W281" s="232" cm="1">
        <f t="array" ref="W281">SUMPRODUCT((SEP!M_Verweiszeile=$H281)*SEP!M_ProdN2*(SEP!M_Monat=$E281))</f>
        <v>0</v>
      </c>
      <c r="X281" s="232" cm="1">
        <f t="array" ref="X281">SUMPRODUCT((SEP!M_Verweiszeile=$H281)*SEP!M_Reise*(SEP!M_Monat=$E281))</f>
        <v>0</v>
      </c>
      <c r="Y281" s="232" cm="1">
        <f t="array" ref="Y281">SUMPRODUCT((SEP!M_Verweiszeile=$H281)*SEP!M_Reiseabzug*(SEP!M_Monat=$E281))</f>
        <v>0</v>
      </c>
      <c r="Z281" s="232">
        <f t="shared" si="80"/>
        <v>0</v>
      </c>
      <c r="AA281" s="232">
        <f t="shared" si="70"/>
        <v>0</v>
      </c>
      <c r="AB281" s="232">
        <f t="shared" si="71"/>
        <v>0</v>
      </c>
      <c r="AC281" s="232">
        <f t="shared" si="81"/>
        <v>0</v>
      </c>
      <c r="AD281" s="232">
        <f t="shared" si="82"/>
        <v>0</v>
      </c>
      <c r="AE281" s="232">
        <f t="shared" si="83"/>
        <v>0</v>
      </c>
    </row>
    <row r="282" spans="3:31" s="185" customFormat="1" x14ac:dyDescent="0.2">
      <c r="C282" s="128">
        <v>273</v>
      </c>
      <c r="D282" s="186">
        <f t="shared" si="84"/>
        <v>46295</v>
      </c>
      <c r="E282" s="128">
        <f t="shared" si="72"/>
        <v>9</v>
      </c>
      <c r="F282" s="187">
        <f t="shared" si="73"/>
        <v>46295</v>
      </c>
      <c r="G282" s="128">
        <f t="shared" si="74"/>
        <v>40</v>
      </c>
      <c r="H282" s="128">
        <f t="shared" si="75"/>
        <v>30</v>
      </c>
      <c r="I282" s="128">
        <f t="shared" si="76"/>
        <v>3</v>
      </c>
      <c r="J282" s="188">
        <f t="shared" si="77"/>
        <v>46295</v>
      </c>
      <c r="K282" s="128" t="str" cm="1">
        <f t="array" ref="K282">IF(AND(I282&lt;7,INDEX(B_tblFTMatrix,$E282,$H282)="x"),"ft","")</f>
        <v/>
      </c>
      <c r="L282" s="128"/>
      <c r="M282" s="128"/>
      <c r="N282" s="128">
        <f t="shared" si="68"/>
        <v>1</v>
      </c>
      <c r="O282" s="128">
        <f t="shared" si="78"/>
        <v>1</v>
      </c>
      <c r="P282" s="227">
        <f t="shared" si="69"/>
        <v>8</v>
      </c>
      <c r="Q282" s="229" cm="1">
        <f t="array" ref="Q282">SUMPRODUCT((H_tblBGTage=I282)*(H_tblBGMnt=E282)*H_tblBG%)</f>
        <v>1</v>
      </c>
      <c r="R282" s="227">
        <f t="shared" si="79"/>
        <v>8</v>
      </c>
      <c r="S282" s="233"/>
      <c r="T282" s="233"/>
      <c r="U282" s="232" cm="1">
        <f t="array" ref="U282">SUMPRODUCT((SEP!M_Verweiszeile=$H282)*SEP!M_ProdTag*(SEP!M_Monat=$E282))</f>
        <v>0</v>
      </c>
      <c r="V282" s="232" cm="1">
        <f t="array" ref="V282">SUMPRODUCT((SEP!M_Verweiszeile=$H282)*SEP!M_ProdN1*(SEP!M_Monat=$E282))</f>
        <v>0</v>
      </c>
      <c r="W282" s="232" cm="1">
        <f t="array" ref="W282">SUMPRODUCT((SEP!M_Verweiszeile=$H282)*SEP!M_ProdN2*(SEP!M_Monat=$E282))</f>
        <v>0</v>
      </c>
      <c r="X282" s="232" cm="1">
        <f t="array" ref="X282">SUMPRODUCT((SEP!M_Verweiszeile=$H282)*SEP!M_Reise*(SEP!M_Monat=$E282))</f>
        <v>0</v>
      </c>
      <c r="Y282" s="232" cm="1">
        <f t="array" ref="Y282">SUMPRODUCT((SEP!M_Verweiszeile=$H282)*SEP!M_Reiseabzug*(SEP!M_Monat=$E282))</f>
        <v>0</v>
      </c>
      <c r="Z282" s="232">
        <f t="shared" si="80"/>
        <v>0</v>
      </c>
      <c r="AA282" s="232">
        <f t="shared" si="70"/>
        <v>0</v>
      </c>
      <c r="AB282" s="232">
        <f t="shared" si="71"/>
        <v>0</v>
      </c>
      <c r="AC282" s="232">
        <f t="shared" si="81"/>
        <v>0</v>
      </c>
      <c r="AD282" s="232">
        <f t="shared" si="82"/>
        <v>0</v>
      </c>
      <c r="AE282" s="232">
        <f t="shared" si="83"/>
        <v>0</v>
      </c>
    </row>
    <row r="283" spans="3:31" s="185" customFormat="1" x14ac:dyDescent="0.2">
      <c r="C283" s="128">
        <v>274</v>
      </c>
      <c r="D283" s="186">
        <f t="shared" si="84"/>
        <v>46296</v>
      </c>
      <c r="E283" s="128">
        <f t="shared" si="72"/>
        <v>10</v>
      </c>
      <c r="F283" s="187">
        <f t="shared" si="73"/>
        <v>46296</v>
      </c>
      <c r="G283" s="128">
        <f t="shared" si="74"/>
        <v>40</v>
      </c>
      <c r="H283" s="128">
        <f t="shared" si="75"/>
        <v>1</v>
      </c>
      <c r="I283" s="128">
        <f t="shared" si="76"/>
        <v>4</v>
      </c>
      <c r="J283" s="188">
        <f t="shared" si="77"/>
        <v>46296</v>
      </c>
      <c r="K283" s="128" t="str" cm="1">
        <f t="array" ref="K283">IF(AND(I283&lt;7,INDEX(B_tblFTMatrix,$E283,$H283)="x"),"ft","")</f>
        <v/>
      </c>
      <c r="L283" s="128"/>
      <c r="M283" s="128"/>
      <c r="N283" s="128">
        <f t="shared" si="68"/>
        <v>1</v>
      </c>
      <c r="O283" s="128">
        <f t="shared" si="78"/>
        <v>1</v>
      </c>
      <c r="P283" s="227">
        <f t="shared" si="69"/>
        <v>8</v>
      </c>
      <c r="Q283" s="229" cm="1">
        <f t="array" ref="Q283">SUMPRODUCT((H_tblBGTage=I283)*(H_tblBGMnt=E283)*H_tblBG%)</f>
        <v>1</v>
      </c>
      <c r="R283" s="227">
        <f t="shared" si="79"/>
        <v>8</v>
      </c>
      <c r="S283" s="233"/>
      <c r="T283" s="233"/>
      <c r="U283" s="312" cm="1">
        <f t="array" ref="U283">SUMPRODUCT((SEP!M_Verweiszeile=$H283)*SEP!M_ProdTag*(SEP!M_Monat=$E283))+SUMPRODUCT((OCT!M_Verweiszeile=$H283)*OCT!M_ProdTag*(OCT!M_Monat=$E283))</f>
        <v>0</v>
      </c>
      <c r="V283" s="232" cm="1">
        <f t="array" ref="V283">SUMPRODUCT((SEP!M_Verweiszeile=$H283)*SEP!M_ProdN1*(SEP!M_Monat=$E283))+SUMPRODUCT((OCT!M_Verweiszeile=$H283)*OCT!M_ProdN1*(OCT!M_Monat=$E283))</f>
        <v>0</v>
      </c>
      <c r="W283" s="232" cm="1">
        <f t="array" ref="W283">SUMPRODUCT((SEP!M_Verweiszeile=$H283)*SEP!M_ProdN2*(SEP!M_Monat=$E283))+SUMPRODUCT((OCT!M_Verweiszeile=$H283)*OCT!M_ProdN2*(OCT!M_Monat=$E283))</f>
        <v>0</v>
      </c>
      <c r="X283" s="232" cm="1">
        <f t="array" ref="X283">SUMPRODUCT((SEP!M_Verweiszeile=$H283)*SEP!M_Reise*(SEP!M_Monat=$E283))+SUMPRODUCT((OCT!M_Verweiszeile=$H283)*OCT!M_Reise*(OCT!M_Monat=$E283))</f>
        <v>0</v>
      </c>
      <c r="Y283" s="232" cm="1">
        <f t="array" ref="Y283">SUMPRODUCT((SEP!M_Verweiszeile=$H283)*SEP!M_Reiseabzug*(SEP!M_Monat=$E283))+SUMPRODUCT((OCT!M_Verweiszeile=$H283)*OCT!M_Reiseabzug*(OCT!M_Monat=$E283))</f>
        <v>0</v>
      </c>
      <c r="Z283" s="232">
        <f t="shared" si="80"/>
        <v>0</v>
      </c>
      <c r="AA283" s="232">
        <f t="shared" si="70"/>
        <v>0</v>
      </c>
      <c r="AB283" s="232">
        <f t="shared" si="71"/>
        <v>0</v>
      </c>
      <c r="AC283" s="232">
        <f t="shared" si="81"/>
        <v>0</v>
      </c>
      <c r="AD283" s="232">
        <f t="shared" si="82"/>
        <v>0</v>
      </c>
      <c r="AE283" s="232">
        <f t="shared" si="83"/>
        <v>0</v>
      </c>
    </row>
    <row r="284" spans="3:31" s="185" customFormat="1" x14ac:dyDescent="0.2">
      <c r="C284" s="128">
        <v>275</v>
      </c>
      <c r="D284" s="186">
        <f t="shared" si="84"/>
        <v>46297</v>
      </c>
      <c r="E284" s="128">
        <f t="shared" si="72"/>
        <v>10</v>
      </c>
      <c r="F284" s="187">
        <f t="shared" si="73"/>
        <v>46297</v>
      </c>
      <c r="G284" s="128">
        <f t="shared" si="74"/>
        <v>40</v>
      </c>
      <c r="H284" s="128">
        <f t="shared" si="75"/>
        <v>2</v>
      </c>
      <c r="I284" s="128">
        <f t="shared" si="76"/>
        <v>5</v>
      </c>
      <c r="J284" s="188">
        <f t="shared" si="77"/>
        <v>46297</v>
      </c>
      <c r="K284" s="128" t="str" cm="1">
        <f t="array" ref="K284">IF(AND(I284&lt;7,INDEX(B_tblFTMatrix,$E284,$H284)="x"),"ft","")</f>
        <v/>
      </c>
      <c r="L284" s="128"/>
      <c r="M284" s="128"/>
      <c r="N284" s="128">
        <f t="shared" si="68"/>
        <v>1</v>
      </c>
      <c r="O284" s="128">
        <f t="shared" si="78"/>
        <v>1</v>
      </c>
      <c r="P284" s="227">
        <f t="shared" si="69"/>
        <v>8</v>
      </c>
      <c r="Q284" s="229" cm="1">
        <f t="array" ref="Q284">SUMPRODUCT((H_tblBGTage=I284)*(H_tblBGMnt=E284)*H_tblBG%)</f>
        <v>1</v>
      </c>
      <c r="R284" s="227">
        <f t="shared" si="79"/>
        <v>8</v>
      </c>
      <c r="S284" s="233"/>
      <c r="T284" s="233"/>
      <c r="U284" s="311" cm="1">
        <f t="array" ref="U284">SUMPRODUCT((OCT!M_Verweiszeile=$H284)*OCT!M_ProdTag*(OCT!M_Monat=$E284))</f>
        <v>0</v>
      </c>
      <c r="V284" s="232" cm="1">
        <f t="array" ref="V284">SUMPRODUCT((OCT!M_Verweiszeile=$H284)*OCT!M_ProdN1*(OCT!M_Monat=$E284))</f>
        <v>0</v>
      </c>
      <c r="W284" s="232" cm="1">
        <f t="array" ref="W284">SUMPRODUCT((OCT!M_Verweiszeile=$H284)*OCT!M_ProdN2*(OCT!M_Monat=$E284))</f>
        <v>0</v>
      </c>
      <c r="X284" s="232" cm="1">
        <f t="array" ref="X284">SUMPRODUCT((OCT!M_Verweiszeile=$H284)*OCT!M_Reise*(OCT!M_Monat=$E284))</f>
        <v>0</v>
      </c>
      <c r="Y284" s="232" cm="1">
        <f t="array" ref="Y284">SUMPRODUCT((OCT!M_Verweiszeile=$H284)*OCT!M_Reiseabzug*(OCT!M_Monat=$E284))</f>
        <v>0</v>
      </c>
      <c r="Z284" s="232">
        <f t="shared" si="80"/>
        <v>0</v>
      </c>
      <c r="AA284" s="232">
        <f t="shared" si="70"/>
        <v>0</v>
      </c>
      <c r="AB284" s="232">
        <f t="shared" si="71"/>
        <v>0</v>
      </c>
      <c r="AC284" s="232">
        <f t="shared" si="81"/>
        <v>0</v>
      </c>
      <c r="AD284" s="232">
        <f t="shared" si="82"/>
        <v>0</v>
      </c>
      <c r="AE284" s="232">
        <f t="shared" si="83"/>
        <v>0</v>
      </c>
    </row>
    <row r="285" spans="3:31" s="185" customFormat="1" x14ac:dyDescent="0.2">
      <c r="C285" s="128">
        <v>276</v>
      </c>
      <c r="D285" s="186">
        <f t="shared" si="84"/>
        <v>46298</v>
      </c>
      <c r="E285" s="128">
        <f t="shared" si="72"/>
        <v>10</v>
      </c>
      <c r="F285" s="187">
        <f t="shared" si="73"/>
        <v>46298</v>
      </c>
      <c r="G285" s="128">
        <f t="shared" si="74"/>
        <v>40</v>
      </c>
      <c r="H285" s="128">
        <f t="shared" si="75"/>
        <v>3</v>
      </c>
      <c r="I285" s="128">
        <f t="shared" si="76"/>
        <v>6</v>
      </c>
      <c r="J285" s="188">
        <f t="shared" si="77"/>
        <v>46298</v>
      </c>
      <c r="K285" s="128" t="str" cm="1">
        <f t="array" ref="K285">IF(AND(I285&lt;7,INDEX(B_tblFTMatrix,$E285,$H285)="x"),"ft","")</f>
        <v/>
      </c>
      <c r="L285" s="128"/>
      <c r="M285" s="128"/>
      <c r="N285" s="128">
        <f t="shared" si="68"/>
        <v>0</v>
      </c>
      <c r="O285" s="128">
        <f t="shared" si="78"/>
        <v>0</v>
      </c>
      <c r="P285" s="227">
        <f t="shared" si="69"/>
        <v>0</v>
      </c>
      <c r="Q285" s="229" cm="1">
        <f t="array" ref="Q285">SUMPRODUCT((H_tblBGTage=I285)*(H_tblBGMnt=E285)*H_tblBG%)</f>
        <v>0</v>
      </c>
      <c r="R285" s="227">
        <f t="shared" si="79"/>
        <v>0</v>
      </c>
      <c r="S285" s="233"/>
      <c r="T285" s="233"/>
      <c r="U285" s="232" cm="1">
        <f t="array" ref="U285">SUMPRODUCT((OCT!M_Verweiszeile=$H285)*OCT!M_ProdTag*(OCT!M_Monat=$E285))</f>
        <v>0</v>
      </c>
      <c r="V285" s="232" cm="1">
        <f t="array" ref="V285">SUMPRODUCT((OCT!M_Verweiszeile=$H285)*OCT!M_ProdN1*(OCT!M_Monat=$E285))</f>
        <v>0</v>
      </c>
      <c r="W285" s="232" cm="1">
        <f t="array" ref="W285">SUMPRODUCT((OCT!M_Verweiszeile=$H285)*OCT!M_ProdN2*(OCT!M_Monat=$E285))</f>
        <v>0</v>
      </c>
      <c r="X285" s="232" cm="1">
        <f t="array" ref="X285">SUMPRODUCT((OCT!M_Verweiszeile=$H285)*OCT!M_Reise*(OCT!M_Monat=$E285))</f>
        <v>0</v>
      </c>
      <c r="Y285" s="232" cm="1">
        <f t="array" ref="Y285">SUMPRODUCT((OCT!M_Verweiszeile=$H285)*OCT!M_Reiseabzug*(OCT!M_Monat=$E285))</f>
        <v>0</v>
      </c>
      <c r="Z285" s="232">
        <f t="shared" si="80"/>
        <v>0</v>
      </c>
      <c r="AA285" s="232">
        <f t="shared" si="70"/>
        <v>0</v>
      </c>
      <c r="AB285" s="232">
        <f t="shared" si="71"/>
        <v>0</v>
      </c>
      <c r="AC285" s="232">
        <f t="shared" si="81"/>
        <v>0</v>
      </c>
      <c r="AD285" s="232">
        <f t="shared" si="82"/>
        <v>0</v>
      </c>
      <c r="AE285" s="232">
        <f t="shared" si="83"/>
        <v>0</v>
      </c>
    </row>
    <row r="286" spans="3:31" s="185" customFormat="1" x14ac:dyDescent="0.2">
      <c r="C286" s="128">
        <v>277</v>
      </c>
      <c r="D286" s="186">
        <f t="shared" si="84"/>
        <v>46299</v>
      </c>
      <c r="E286" s="128">
        <f t="shared" si="72"/>
        <v>10</v>
      </c>
      <c r="F286" s="187">
        <f t="shared" si="73"/>
        <v>46299</v>
      </c>
      <c r="G286" s="128">
        <f t="shared" si="74"/>
        <v>40</v>
      </c>
      <c r="H286" s="128">
        <f t="shared" si="75"/>
        <v>4</v>
      </c>
      <c r="I286" s="128">
        <f t="shared" si="76"/>
        <v>7</v>
      </c>
      <c r="J286" s="188">
        <f t="shared" si="77"/>
        <v>46299</v>
      </c>
      <c r="K286" s="128" t="str" cm="1">
        <f t="array" ref="K286">IF(AND(I286&lt;7,INDEX(B_tblFTMatrix,$E286,$H286)="x"),"ft","")</f>
        <v/>
      </c>
      <c r="L286" s="128"/>
      <c r="M286" s="128"/>
      <c r="N286" s="128">
        <f t="shared" si="68"/>
        <v>0</v>
      </c>
      <c r="O286" s="128">
        <f t="shared" si="78"/>
        <v>0</v>
      </c>
      <c r="P286" s="227">
        <f t="shared" si="69"/>
        <v>0</v>
      </c>
      <c r="Q286" s="229" cm="1">
        <f t="array" ref="Q286">SUMPRODUCT((H_tblBGTage=I286)*(H_tblBGMnt=E286)*H_tblBG%)</f>
        <v>0</v>
      </c>
      <c r="R286" s="227">
        <f t="shared" si="79"/>
        <v>0</v>
      </c>
      <c r="S286" s="233"/>
      <c r="T286" s="233"/>
      <c r="U286" s="232" cm="1">
        <f t="array" ref="U286">SUMPRODUCT((OCT!M_Verweiszeile=$H286)*OCT!M_ProdTag*(OCT!M_Monat=$E286))</f>
        <v>0</v>
      </c>
      <c r="V286" s="232" cm="1">
        <f t="array" ref="V286">SUMPRODUCT((OCT!M_Verweiszeile=$H286)*OCT!M_ProdN1*(OCT!M_Monat=$E286))</f>
        <v>0</v>
      </c>
      <c r="W286" s="232" cm="1">
        <f t="array" ref="W286">SUMPRODUCT((OCT!M_Verweiszeile=$H286)*OCT!M_ProdN2*(OCT!M_Monat=$E286))</f>
        <v>0</v>
      </c>
      <c r="X286" s="232" cm="1">
        <f t="array" ref="X286">SUMPRODUCT((OCT!M_Verweiszeile=$H286)*OCT!M_Reise*(OCT!M_Monat=$E286))</f>
        <v>0</v>
      </c>
      <c r="Y286" s="232" cm="1">
        <f t="array" ref="Y286">SUMPRODUCT((OCT!M_Verweiszeile=$H286)*OCT!M_Reiseabzug*(OCT!M_Monat=$E286))</f>
        <v>0</v>
      </c>
      <c r="Z286" s="232">
        <f t="shared" si="80"/>
        <v>0</v>
      </c>
      <c r="AA286" s="232">
        <f t="shared" si="70"/>
        <v>0</v>
      </c>
      <c r="AB286" s="232">
        <f t="shared" si="71"/>
        <v>0</v>
      </c>
      <c r="AC286" s="232">
        <f t="shared" si="81"/>
        <v>0</v>
      </c>
      <c r="AD286" s="232">
        <f t="shared" si="82"/>
        <v>0</v>
      </c>
      <c r="AE286" s="232">
        <f t="shared" si="83"/>
        <v>0</v>
      </c>
    </row>
    <row r="287" spans="3:31" s="185" customFormat="1" x14ac:dyDescent="0.2">
      <c r="C287" s="128">
        <v>278</v>
      </c>
      <c r="D287" s="186">
        <f t="shared" si="84"/>
        <v>46300</v>
      </c>
      <c r="E287" s="128">
        <f t="shared" si="72"/>
        <v>10</v>
      </c>
      <c r="F287" s="187">
        <f t="shared" si="73"/>
        <v>46300</v>
      </c>
      <c r="G287" s="128">
        <f t="shared" si="74"/>
        <v>41</v>
      </c>
      <c r="H287" s="128">
        <f t="shared" si="75"/>
        <v>5</v>
      </c>
      <c r="I287" s="128">
        <f t="shared" si="76"/>
        <v>1</v>
      </c>
      <c r="J287" s="188">
        <f t="shared" si="77"/>
        <v>46300</v>
      </c>
      <c r="K287" s="128" t="str" cm="1">
        <f t="array" ref="K287">IF(AND(I287&lt;7,INDEX(B_tblFTMatrix,$E287,$H287)="x"),"ft","")</f>
        <v/>
      </c>
      <c r="L287" s="128"/>
      <c r="M287" s="128"/>
      <c r="N287" s="128">
        <f t="shared" si="68"/>
        <v>1</v>
      </c>
      <c r="O287" s="128">
        <f t="shared" si="78"/>
        <v>1</v>
      </c>
      <c r="P287" s="227">
        <f t="shared" si="69"/>
        <v>8</v>
      </c>
      <c r="Q287" s="229" cm="1">
        <f t="array" ref="Q287">SUMPRODUCT((H_tblBGTage=I287)*(H_tblBGMnt=E287)*H_tblBG%)</f>
        <v>1</v>
      </c>
      <c r="R287" s="227">
        <f t="shared" si="79"/>
        <v>8</v>
      </c>
      <c r="S287" s="233"/>
      <c r="T287" s="233"/>
      <c r="U287" s="232" cm="1">
        <f t="array" ref="U287">SUMPRODUCT((OCT!M_Verweiszeile=$H287)*OCT!M_ProdTag*(OCT!M_Monat=$E287))</f>
        <v>0</v>
      </c>
      <c r="V287" s="232" cm="1">
        <f t="array" ref="V287">SUMPRODUCT((OCT!M_Verweiszeile=$H287)*OCT!M_ProdN1*(OCT!M_Monat=$E287))</f>
        <v>0</v>
      </c>
      <c r="W287" s="232" cm="1">
        <f t="array" ref="W287">SUMPRODUCT((OCT!M_Verweiszeile=$H287)*OCT!M_ProdN2*(OCT!M_Monat=$E287))</f>
        <v>0</v>
      </c>
      <c r="X287" s="232" cm="1">
        <f t="array" ref="X287">SUMPRODUCT((OCT!M_Verweiszeile=$H287)*OCT!M_Reise*(OCT!M_Monat=$E287))</f>
        <v>0</v>
      </c>
      <c r="Y287" s="232" cm="1">
        <f t="array" ref="Y287">SUMPRODUCT((OCT!M_Verweiszeile=$H287)*OCT!M_Reiseabzug*(OCT!M_Monat=$E287))</f>
        <v>0</v>
      </c>
      <c r="Z287" s="232">
        <f t="shared" si="80"/>
        <v>0</v>
      </c>
      <c r="AA287" s="232">
        <f t="shared" si="70"/>
        <v>0</v>
      </c>
      <c r="AB287" s="232">
        <f t="shared" si="71"/>
        <v>0</v>
      </c>
      <c r="AC287" s="232">
        <f t="shared" si="81"/>
        <v>0</v>
      </c>
      <c r="AD287" s="232">
        <f t="shared" si="82"/>
        <v>0</v>
      </c>
      <c r="AE287" s="232">
        <f t="shared" si="83"/>
        <v>0</v>
      </c>
    </row>
    <row r="288" spans="3:31" s="185" customFormat="1" x14ac:dyDescent="0.2">
      <c r="C288" s="128">
        <v>279</v>
      </c>
      <c r="D288" s="186">
        <f t="shared" si="84"/>
        <v>46301</v>
      </c>
      <c r="E288" s="128">
        <f t="shared" si="72"/>
        <v>10</v>
      </c>
      <c r="F288" s="187">
        <f t="shared" si="73"/>
        <v>46301</v>
      </c>
      <c r="G288" s="128">
        <f t="shared" si="74"/>
        <v>41</v>
      </c>
      <c r="H288" s="128">
        <f t="shared" si="75"/>
        <v>6</v>
      </c>
      <c r="I288" s="128">
        <f t="shared" si="76"/>
        <v>2</v>
      </c>
      <c r="J288" s="188">
        <f t="shared" si="77"/>
        <v>46301</v>
      </c>
      <c r="K288" s="128" t="str" cm="1">
        <f t="array" ref="K288">IF(AND(I288&lt;7,INDEX(B_tblFTMatrix,$E288,$H288)="x"),"ft","")</f>
        <v/>
      </c>
      <c r="L288" s="128"/>
      <c r="M288" s="128"/>
      <c r="N288" s="128">
        <f t="shared" si="68"/>
        <v>1</v>
      </c>
      <c r="O288" s="128">
        <f t="shared" si="78"/>
        <v>1</v>
      </c>
      <c r="P288" s="227">
        <f t="shared" si="69"/>
        <v>8</v>
      </c>
      <c r="Q288" s="229" cm="1">
        <f t="array" ref="Q288">SUMPRODUCT((H_tblBGTage=I288)*(H_tblBGMnt=E288)*H_tblBG%)</f>
        <v>1</v>
      </c>
      <c r="R288" s="227">
        <f t="shared" si="79"/>
        <v>8</v>
      </c>
      <c r="S288" s="233"/>
      <c r="T288" s="233"/>
      <c r="U288" s="232" cm="1">
        <f t="array" ref="U288">SUMPRODUCT((OCT!M_Verweiszeile=$H288)*OCT!M_ProdTag*(OCT!M_Monat=$E288))</f>
        <v>0</v>
      </c>
      <c r="V288" s="232" cm="1">
        <f t="array" ref="V288">SUMPRODUCT((OCT!M_Verweiszeile=$H288)*OCT!M_ProdN1*(OCT!M_Monat=$E288))</f>
        <v>0</v>
      </c>
      <c r="W288" s="232" cm="1">
        <f t="array" ref="W288">SUMPRODUCT((OCT!M_Verweiszeile=$H288)*OCT!M_ProdN2*(OCT!M_Monat=$E288))</f>
        <v>0</v>
      </c>
      <c r="X288" s="232" cm="1">
        <f t="array" ref="X288">SUMPRODUCT((OCT!M_Verweiszeile=$H288)*OCT!M_Reise*(OCT!M_Monat=$E288))</f>
        <v>0</v>
      </c>
      <c r="Y288" s="232" cm="1">
        <f t="array" ref="Y288">SUMPRODUCT((OCT!M_Verweiszeile=$H288)*OCT!M_Reiseabzug*(OCT!M_Monat=$E288))</f>
        <v>0</v>
      </c>
      <c r="Z288" s="232">
        <f t="shared" si="80"/>
        <v>0</v>
      </c>
      <c r="AA288" s="232">
        <f t="shared" si="70"/>
        <v>0</v>
      </c>
      <c r="AB288" s="232">
        <f t="shared" si="71"/>
        <v>0</v>
      </c>
      <c r="AC288" s="232">
        <f t="shared" si="81"/>
        <v>0</v>
      </c>
      <c r="AD288" s="232">
        <f t="shared" si="82"/>
        <v>0</v>
      </c>
      <c r="AE288" s="232">
        <f t="shared" si="83"/>
        <v>0</v>
      </c>
    </row>
    <row r="289" spans="3:31" s="185" customFormat="1" x14ac:dyDescent="0.2">
      <c r="C289" s="128">
        <v>280</v>
      </c>
      <c r="D289" s="186">
        <f t="shared" si="84"/>
        <v>46302</v>
      </c>
      <c r="E289" s="128">
        <f t="shared" si="72"/>
        <v>10</v>
      </c>
      <c r="F289" s="187">
        <f t="shared" si="73"/>
        <v>46302</v>
      </c>
      <c r="G289" s="128">
        <f t="shared" si="74"/>
        <v>41</v>
      </c>
      <c r="H289" s="128">
        <f t="shared" si="75"/>
        <v>7</v>
      </c>
      <c r="I289" s="128">
        <f t="shared" si="76"/>
        <v>3</v>
      </c>
      <c r="J289" s="188">
        <f t="shared" si="77"/>
        <v>46302</v>
      </c>
      <c r="K289" s="128" t="str" cm="1">
        <f t="array" ref="K289">IF(AND(I289&lt;7,INDEX(B_tblFTMatrix,$E289,$H289)="x"),"ft","")</f>
        <v/>
      </c>
      <c r="L289" s="128"/>
      <c r="M289" s="128"/>
      <c r="N289" s="128">
        <f t="shared" si="68"/>
        <v>1</v>
      </c>
      <c r="O289" s="128">
        <f t="shared" si="78"/>
        <v>1</v>
      </c>
      <c r="P289" s="227">
        <f t="shared" si="69"/>
        <v>8</v>
      </c>
      <c r="Q289" s="229" cm="1">
        <f t="array" ref="Q289">SUMPRODUCT((H_tblBGTage=I289)*(H_tblBGMnt=E289)*H_tblBG%)</f>
        <v>1</v>
      </c>
      <c r="R289" s="227">
        <f t="shared" si="79"/>
        <v>8</v>
      </c>
      <c r="S289" s="233"/>
      <c r="T289" s="233"/>
      <c r="U289" s="232" cm="1">
        <f t="array" ref="U289">SUMPRODUCT((OCT!M_Verweiszeile=$H289)*OCT!M_ProdTag*(OCT!M_Monat=$E289))</f>
        <v>0</v>
      </c>
      <c r="V289" s="232" cm="1">
        <f t="array" ref="V289">SUMPRODUCT((OCT!M_Verweiszeile=$H289)*OCT!M_ProdN1*(OCT!M_Monat=$E289))</f>
        <v>0</v>
      </c>
      <c r="W289" s="232" cm="1">
        <f t="array" ref="W289">SUMPRODUCT((OCT!M_Verweiszeile=$H289)*OCT!M_ProdN2*(OCT!M_Monat=$E289))</f>
        <v>0</v>
      </c>
      <c r="X289" s="232" cm="1">
        <f t="array" ref="X289">SUMPRODUCT((OCT!M_Verweiszeile=$H289)*OCT!M_Reise*(OCT!M_Monat=$E289))</f>
        <v>0</v>
      </c>
      <c r="Y289" s="232" cm="1">
        <f t="array" ref="Y289">SUMPRODUCT((OCT!M_Verweiszeile=$H289)*OCT!M_Reiseabzug*(OCT!M_Monat=$E289))</f>
        <v>0</v>
      </c>
      <c r="Z289" s="232">
        <f t="shared" si="80"/>
        <v>0</v>
      </c>
      <c r="AA289" s="232">
        <f t="shared" si="70"/>
        <v>0</v>
      </c>
      <c r="AB289" s="232">
        <f t="shared" si="71"/>
        <v>0</v>
      </c>
      <c r="AC289" s="232">
        <f t="shared" si="81"/>
        <v>0</v>
      </c>
      <c r="AD289" s="232">
        <f t="shared" si="82"/>
        <v>0</v>
      </c>
      <c r="AE289" s="232">
        <f t="shared" si="83"/>
        <v>0</v>
      </c>
    </row>
    <row r="290" spans="3:31" s="185" customFormat="1" x14ac:dyDescent="0.2">
      <c r="C290" s="128">
        <v>281</v>
      </c>
      <c r="D290" s="186">
        <f t="shared" si="84"/>
        <v>46303</v>
      </c>
      <c r="E290" s="128">
        <f t="shared" si="72"/>
        <v>10</v>
      </c>
      <c r="F290" s="187">
        <f t="shared" si="73"/>
        <v>46303</v>
      </c>
      <c r="G290" s="128">
        <f t="shared" si="74"/>
        <v>41</v>
      </c>
      <c r="H290" s="128">
        <f t="shared" si="75"/>
        <v>8</v>
      </c>
      <c r="I290" s="128">
        <f t="shared" si="76"/>
        <v>4</v>
      </c>
      <c r="J290" s="188">
        <f t="shared" si="77"/>
        <v>46303</v>
      </c>
      <c r="K290" s="128" t="str" cm="1">
        <f t="array" ref="K290">IF(AND(I290&lt;7,INDEX(B_tblFTMatrix,$E290,$H290)="x"),"ft","")</f>
        <v/>
      </c>
      <c r="L290" s="128"/>
      <c r="M290" s="128"/>
      <c r="N290" s="128">
        <f t="shared" si="68"/>
        <v>1</v>
      </c>
      <c r="O290" s="128">
        <f t="shared" si="78"/>
        <v>1</v>
      </c>
      <c r="P290" s="227">
        <f t="shared" si="69"/>
        <v>8</v>
      </c>
      <c r="Q290" s="229" cm="1">
        <f t="array" ref="Q290">SUMPRODUCT((H_tblBGTage=I290)*(H_tblBGMnt=E290)*H_tblBG%)</f>
        <v>1</v>
      </c>
      <c r="R290" s="227">
        <f t="shared" si="79"/>
        <v>8</v>
      </c>
      <c r="S290" s="233"/>
      <c r="T290" s="233"/>
      <c r="U290" s="232" cm="1">
        <f t="array" ref="U290">SUMPRODUCT((OCT!M_Verweiszeile=$H290)*OCT!M_ProdTag*(OCT!M_Monat=$E290))</f>
        <v>0</v>
      </c>
      <c r="V290" s="232" cm="1">
        <f t="array" ref="V290">SUMPRODUCT((OCT!M_Verweiszeile=$H290)*OCT!M_ProdN1*(OCT!M_Monat=$E290))</f>
        <v>0</v>
      </c>
      <c r="W290" s="232" cm="1">
        <f t="array" ref="W290">SUMPRODUCT((OCT!M_Verweiszeile=$H290)*OCT!M_ProdN2*(OCT!M_Monat=$E290))</f>
        <v>0</v>
      </c>
      <c r="X290" s="232" cm="1">
        <f t="array" ref="X290">SUMPRODUCT((OCT!M_Verweiszeile=$H290)*OCT!M_Reise*(OCT!M_Monat=$E290))</f>
        <v>0</v>
      </c>
      <c r="Y290" s="232" cm="1">
        <f t="array" ref="Y290">SUMPRODUCT((OCT!M_Verweiszeile=$H290)*OCT!M_Reiseabzug*(OCT!M_Monat=$E290))</f>
        <v>0</v>
      </c>
      <c r="Z290" s="232">
        <f t="shared" si="80"/>
        <v>0</v>
      </c>
      <c r="AA290" s="232">
        <f t="shared" si="70"/>
        <v>0</v>
      </c>
      <c r="AB290" s="232">
        <f t="shared" si="71"/>
        <v>0</v>
      </c>
      <c r="AC290" s="232">
        <f t="shared" si="81"/>
        <v>0</v>
      </c>
      <c r="AD290" s="232">
        <f t="shared" si="82"/>
        <v>0</v>
      </c>
      <c r="AE290" s="232">
        <f t="shared" si="83"/>
        <v>0</v>
      </c>
    </row>
    <row r="291" spans="3:31" s="185" customFormat="1" x14ac:dyDescent="0.2">
      <c r="C291" s="128">
        <v>282</v>
      </c>
      <c r="D291" s="186">
        <f t="shared" si="84"/>
        <v>46304</v>
      </c>
      <c r="E291" s="128">
        <f t="shared" si="72"/>
        <v>10</v>
      </c>
      <c r="F291" s="187">
        <f t="shared" si="73"/>
        <v>46304</v>
      </c>
      <c r="G291" s="128">
        <f t="shared" si="74"/>
        <v>41</v>
      </c>
      <c r="H291" s="128">
        <f t="shared" si="75"/>
        <v>9</v>
      </c>
      <c r="I291" s="128">
        <f t="shared" si="76"/>
        <v>5</v>
      </c>
      <c r="J291" s="188">
        <f t="shared" si="77"/>
        <v>46304</v>
      </c>
      <c r="K291" s="128" t="str" cm="1">
        <f t="array" ref="K291">IF(AND(I291&lt;7,INDEX(B_tblFTMatrix,$E291,$H291)="x"),"ft","")</f>
        <v/>
      </c>
      <c r="L291" s="128"/>
      <c r="M291" s="128"/>
      <c r="N291" s="128">
        <f t="shared" si="68"/>
        <v>1</v>
      </c>
      <c r="O291" s="128">
        <f t="shared" si="78"/>
        <v>1</v>
      </c>
      <c r="P291" s="227">
        <f t="shared" si="69"/>
        <v>8</v>
      </c>
      <c r="Q291" s="229" cm="1">
        <f t="array" ref="Q291">SUMPRODUCT((H_tblBGTage=I291)*(H_tblBGMnt=E291)*H_tblBG%)</f>
        <v>1</v>
      </c>
      <c r="R291" s="227">
        <f t="shared" si="79"/>
        <v>8</v>
      </c>
      <c r="S291" s="233"/>
      <c r="T291" s="233"/>
      <c r="U291" s="232" cm="1">
        <f t="array" ref="U291">SUMPRODUCT((OCT!M_Verweiszeile=$H291)*OCT!M_ProdTag*(OCT!M_Monat=$E291))</f>
        <v>0</v>
      </c>
      <c r="V291" s="232" cm="1">
        <f t="array" ref="V291">SUMPRODUCT((OCT!M_Verweiszeile=$H291)*OCT!M_ProdN1*(OCT!M_Monat=$E291))</f>
        <v>0</v>
      </c>
      <c r="W291" s="232" cm="1">
        <f t="array" ref="W291">SUMPRODUCT((OCT!M_Verweiszeile=$H291)*OCT!M_ProdN2*(OCT!M_Monat=$E291))</f>
        <v>0</v>
      </c>
      <c r="X291" s="232" cm="1">
        <f t="array" ref="X291">SUMPRODUCT((OCT!M_Verweiszeile=$H291)*OCT!M_Reise*(OCT!M_Monat=$E291))</f>
        <v>0</v>
      </c>
      <c r="Y291" s="232" cm="1">
        <f t="array" ref="Y291">SUMPRODUCT((OCT!M_Verweiszeile=$H291)*OCT!M_Reiseabzug*(OCT!M_Monat=$E291))</f>
        <v>0</v>
      </c>
      <c r="Z291" s="232">
        <f t="shared" si="80"/>
        <v>0</v>
      </c>
      <c r="AA291" s="232">
        <f t="shared" si="70"/>
        <v>0</v>
      </c>
      <c r="AB291" s="232">
        <f t="shared" si="71"/>
        <v>0</v>
      </c>
      <c r="AC291" s="232">
        <f t="shared" si="81"/>
        <v>0</v>
      </c>
      <c r="AD291" s="232">
        <f t="shared" si="82"/>
        <v>0</v>
      </c>
      <c r="AE291" s="232">
        <f t="shared" si="83"/>
        <v>0</v>
      </c>
    </row>
    <row r="292" spans="3:31" s="185" customFormat="1" x14ac:dyDescent="0.2">
      <c r="C292" s="128">
        <v>283</v>
      </c>
      <c r="D292" s="186">
        <f t="shared" si="84"/>
        <v>46305</v>
      </c>
      <c r="E292" s="128">
        <f t="shared" si="72"/>
        <v>10</v>
      </c>
      <c r="F292" s="187">
        <f t="shared" si="73"/>
        <v>46305</v>
      </c>
      <c r="G292" s="128">
        <f t="shared" si="74"/>
        <v>41</v>
      </c>
      <c r="H292" s="128">
        <f t="shared" si="75"/>
        <v>10</v>
      </c>
      <c r="I292" s="128">
        <f t="shared" si="76"/>
        <v>6</v>
      </c>
      <c r="J292" s="188">
        <f t="shared" si="77"/>
        <v>46305</v>
      </c>
      <c r="K292" s="128" t="str" cm="1">
        <f t="array" ref="K292">IF(AND(I292&lt;7,INDEX(B_tblFTMatrix,$E292,$H292)="x"),"ft","")</f>
        <v/>
      </c>
      <c r="L292" s="128"/>
      <c r="M292" s="128"/>
      <c r="N292" s="128">
        <f t="shared" si="68"/>
        <v>0</v>
      </c>
      <c r="O292" s="128">
        <f t="shared" si="78"/>
        <v>0</v>
      </c>
      <c r="P292" s="227">
        <f t="shared" si="69"/>
        <v>0</v>
      </c>
      <c r="Q292" s="229" cm="1">
        <f t="array" ref="Q292">SUMPRODUCT((H_tblBGTage=I292)*(H_tblBGMnt=E292)*H_tblBG%)</f>
        <v>0</v>
      </c>
      <c r="R292" s="227">
        <f t="shared" si="79"/>
        <v>0</v>
      </c>
      <c r="S292" s="233"/>
      <c r="T292" s="233"/>
      <c r="U292" s="232" cm="1">
        <f t="array" ref="U292">SUMPRODUCT((OCT!M_Verweiszeile=$H292)*OCT!M_ProdTag*(OCT!M_Monat=$E292))</f>
        <v>0</v>
      </c>
      <c r="V292" s="232" cm="1">
        <f t="array" ref="V292">SUMPRODUCT((OCT!M_Verweiszeile=$H292)*OCT!M_ProdN1*(OCT!M_Monat=$E292))</f>
        <v>0</v>
      </c>
      <c r="W292" s="232" cm="1">
        <f t="array" ref="W292">SUMPRODUCT((OCT!M_Verweiszeile=$H292)*OCT!M_ProdN2*(OCT!M_Monat=$E292))</f>
        <v>0</v>
      </c>
      <c r="X292" s="232" cm="1">
        <f t="array" ref="X292">SUMPRODUCT((OCT!M_Verweiszeile=$H292)*OCT!M_Reise*(OCT!M_Monat=$E292))</f>
        <v>0</v>
      </c>
      <c r="Y292" s="232" cm="1">
        <f t="array" ref="Y292">SUMPRODUCT((OCT!M_Verweiszeile=$H292)*OCT!M_Reiseabzug*(OCT!M_Monat=$E292))</f>
        <v>0</v>
      </c>
      <c r="Z292" s="232">
        <f t="shared" si="80"/>
        <v>0</v>
      </c>
      <c r="AA292" s="232">
        <f t="shared" si="70"/>
        <v>0</v>
      </c>
      <c r="AB292" s="232">
        <f t="shared" si="71"/>
        <v>0</v>
      </c>
      <c r="AC292" s="232">
        <f t="shared" si="81"/>
        <v>0</v>
      </c>
      <c r="AD292" s="232">
        <f t="shared" si="82"/>
        <v>0</v>
      </c>
      <c r="AE292" s="232">
        <f t="shared" si="83"/>
        <v>0</v>
      </c>
    </row>
    <row r="293" spans="3:31" s="185" customFormat="1" x14ac:dyDescent="0.2">
      <c r="C293" s="128">
        <v>284</v>
      </c>
      <c r="D293" s="186">
        <f t="shared" si="84"/>
        <v>46306</v>
      </c>
      <c r="E293" s="128">
        <f t="shared" si="72"/>
        <v>10</v>
      </c>
      <c r="F293" s="187">
        <f t="shared" si="73"/>
        <v>46306</v>
      </c>
      <c r="G293" s="128">
        <f t="shared" si="74"/>
        <v>41</v>
      </c>
      <c r="H293" s="128">
        <f t="shared" si="75"/>
        <v>11</v>
      </c>
      <c r="I293" s="128">
        <f t="shared" si="76"/>
        <v>7</v>
      </c>
      <c r="J293" s="188">
        <f t="shared" si="77"/>
        <v>46306</v>
      </c>
      <c r="K293" s="128" t="str" cm="1">
        <f t="array" ref="K293">IF(AND(I293&lt;7,INDEX(B_tblFTMatrix,$E293,$H293)="x"),"ft","")</f>
        <v/>
      </c>
      <c r="L293" s="128"/>
      <c r="M293" s="128"/>
      <c r="N293" s="128">
        <f t="shared" si="68"/>
        <v>0</v>
      </c>
      <c r="O293" s="128">
        <f t="shared" si="78"/>
        <v>0</v>
      </c>
      <c r="P293" s="227">
        <f t="shared" si="69"/>
        <v>0</v>
      </c>
      <c r="Q293" s="229" cm="1">
        <f t="array" ref="Q293">SUMPRODUCT((H_tblBGTage=I293)*(H_tblBGMnt=E293)*H_tblBG%)</f>
        <v>0</v>
      </c>
      <c r="R293" s="227">
        <f t="shared" si="79"/>
        <v>0</v>
      </c>
      <c r="S293" s="233"/>
      <c r="T293" s="233"/>
      <c r="U293" s="232" cm="1">
        <f t="array" ref="U293">SUMPRODUCT((OCT!M_Verweiszeile=$H293)*OCT!M_ProdTag*(OCT!M_Monat=$E293))</f>
        <v>0</v>
      </c>
      <c r="V293" s="232" cm="1">
        <f t="array" ref="V293">SUMPRODUCT((OCT!M_Verweiszeile=$H293)*OCT!M_ProdN1*(OCT!M_Monat=$E293))</f>
        <v>0</v>
      </c>
      <c r="W293" s="232" cm="1">
        <f t="array" ref="W293">SUMPRODUCT((OCT!M_Verweiszeile=$H293)*OCT!M_ProdN2*(OCT!M_Monat=$E293))</f>
        <v>0</v>
      </c>
      <c r="X293" s="232" cm="1">
        <f t="array" ref="X293">SUMPRODUCT((OCT!M_Verweiszeile=$H293)*OCT!M_Reise*(OCT!M_Monat=$E293))</f>
        <v>0</v>
      </c>
      <c r="Y293" s="232" cm="1">
        <f t="array" ref="Y293">SUMPRODUCT((OCT!M_Verweiszeile=$H293)*OCT!M_Reiseabzug*(OCT!M_Monat=$E293))</f>
        <v>0</v>
      </c>
      <c r="Z293" s="232">
        <f t="shared" si="80"/>
        <v>0</v>
      </c>
      <c r="AA293" s="232">
        <f t="shared" si="70"/>
        <v>0</v>
      </c>
      <c r="AB293" s="232">
        <f t="shared" si="71"/>
        <v>0</v>
      </c>
      <c r="AC293" s="232">
        <f t="shared" si="81"/>
        <v>0</v>
      </c>
      <c r="AD293" s="232">
        <f t="shared" si="82"/>
        <v>0</v>
      </c>
      <c r="AE293" s="232">
        <f t="shared" si="83"/>
        <v>0</v>
      </c>
    </row>
    <row r="294" spans="3:31" s="185" customFormat="1" x14ac:dyDescent="0.2">
      <c r="C294" s="128">
        <v>285</v>
      </c>
      <c r="D294" s="186">
        <f t="shared" si="84"/>
        <v>46307</v>
      </c>
      <c r="E294" s="128">
        <f t="shared" si="72"/>
        <v>10</v>
      </c>
      <c r="F294" s="187">
        <f t="shared" si="73"/>
        <v>46307</v>
      </c>
      <c r="G294" s="128">
        <f t="shared" si="74"/>
        <v>42</v>
      </c>
      <c r="H294" s="128">
        <f t="shared" si="75"/>
        <v>12</v>
      </c>
      <c r="I294" s="128">
        <f t="shared" si="76"/>
        <v>1</v>
      </c>
      <c r="J294" s="188">
        <f t="shared" si="77"/>
        <v>46307</v>
      </c>
      <c r="K294" s="128" t="str" cm="1">
        <f t="array" ref="K294">IF(AND(I294&lt;7,INDEX(B_tblFTMatrix,$E294,$H294)="x"),"ft","")</f>
        <v/>
      </c>
      <c r="L294" s="128"/>
      <c r="M294" s="128"/>
      <c r="N294" s="128">
        <f t="shared" si="68"/>
        <v>1</v>
      </c>
      <c r="O294" s="128">
        <f t="shared" si="78"/>
        <v>1</v>
      </c>
      <c r="P294" s="227">
        <f t="shared" si="69"/>
        <v>8</v>
      </c>
      <c r="Q294" s="229" cm="1">
        <f t="array" ref="Q294">SUMPRODUCT((H_tblBGTage=I294)*(H_tblBGMnt=E294)*H_tblBG%)</f>
        <v>1</v>
      </c>
      <c r="R294" s="227">
        <f t="shared" si="79"/>
        <v>8</v>
      </c>
      <c r="S294" s="233"/>
      <c r="T294" s="233"/>
      <c r="U294" s="232" cm="1">
        <f t="array" ref="U294">SUMPRODUCT((OCT!M_Verweiszeile=$H294)*OCT!M_ProdTag*(OCT!M_Monat=$E294))</f>
        <v>0</v>
      </c>
      <c r="V294" s="232" cm="1">
        <f t="array" ref="V294">SUMPRODUCT((OCT!M_Verweiszeile=$H294)*OCT!M_ProdN1*(OCT!M_Monat=$E294))</f>
        <v>0</v>
      </c>
      <c r="W294" s="232" cm="1">
        <f t="array" ref="W294">SUMPRODUCT((OCT!M_Verweiszeile=$H294)*OCT!M_ProdN2*(OCT!M_Monat=$E294))</f>
        <v>0</v>
      </c>
      <c r="X294" s="232" cm="1">
        <f t="array" ref="X294">SUMPRODUCT((OCT!M_Verweiszeile=$H294)*OCT!M_Reise*(OCT!M_Monat=$E294))</f>
        <v>0</v>
      </c>
      <c r="Y294" s="232" cm="1">
        <f t="array" ref="Y294">SUMPRODUCT((OCT!M_Verweiszeile=$H294)*OCT!M_Reiseabzug*(OCT!M_Monat=$E294))</f>
        <v>0</v>
      </c>
      <c r="Z294" s="232">
        <f t="shared" si="80"/>
        <v>0</v>
      </c>
      <c r="AA294" s="232">
        <f t="shared" si="70"/>
        <v>0</v>
      </c>
      <c r="AB294" s="232">
        <f t="shared" si="71"/>
        <v>0</v>
      </c>
      <c r="AC294" s="232">
        <f t="shared" si="81"/>
        <v>0</v>
      </c>
      <c r="AD294" s="232">
        <f t="shared" si="82"/>
        <v>0</v>
      </c>
      <c r="AE294" s="232">
        <f t="shared" si="83"/>
        <v>0</v>
      </c>
    </row>
    <row r="295" spans="3:31" s="185" customFormat="1" x14ac:dyDescent="0.2">
      <c r="C295" s="128">
        <v>286</v>
      </c>
      <c r="D295" s="186">
        <f t="shared" si="84"/>
        <v>46308</v>
      </c>
      <c r="E295" s="128">
        <f t="shared" si="72"/>
        <v>10</v>
      </c>
      <c r="F295" s="187">
        <f t="shared" si="73"/>
        <v>46308</v>
      </c>
      <c r="G295" s="128">
        <f t="shared" si="74"/>
        <v>42</v>
      </c>
      <c r="H295" s="128">
        <f t="shared" si="75"/>
        <v>13</v>
      </c>
      <c r="I295" s="128">
        <f t="shared" si="76"/>
        <v>2</v>
      </c>
      <c r="J295" s="188">
        <f t="shared" si="77"/>
        <v>46308</v>
      </c>
      <c r="K295" s="128" t="str" cm="1">
        <f t="array" ref="K295">IF(AND(I295&lt;7,INDEX(B_tblFTMatrix,$E295,$H295)="x"),"ft","")</f>
        <v/>
      </c>
      <c r="L295" s="128"/>
      <c r="M295" s="128"/>
      <c r="N295" s="128">
        <f t="shared" si="68"/>
        <v>1</v>
      </c>
      <c r="O295" s="128">
        <f t="shared" si="78"/>
        <v>1</v>
      </c>
      <c r="P295" s="227">
        <f t="shared" si="69"/>
        <v>8</v>
      </c>
      <c r="Q295" s="229" cm="1">
        <f t="array" ref="Q295">SUMPRODUCT((H_tblBGTage=I295)*(H_tblBGMnt=E295)*H_tblBG%)</f>
        <v>1</v>
      </c>
      <c r="R295" s="227">
        <f t="shared" si="79"/>
        <v>8</v>
      </c>
      <c r="S295" s="233"/>
      <c r="T295" s="233"/>
      <c r="U295" s="232" cm="1">
        <f t="array" ref="U295">SUMPRODUCT((OCT!M_Verweiszeile=$H295)*OCT!M_ProdTag*(OCT!M_Monat=$E295))</f>
        <v>0</v>
      </c>
      <c r="V295" s="232" cm="1">
        <f t="array" ref="V295">SUMPRODUCT((OCT!M_Verweiszeile=$H295)*OCT!M_ProdN1*(OCT!M_Monat=$E295))</f>
        <v>0</v>
      </c>
      <c r="W295" s="232" cm="1">
        <f t="array" ref="W295">SUMPRODUCT((OCT!M_Verweiszeile=$H295)*OCT!M_ProdN2*(OCT!M_Monat=$E295))</f>
        <v>0</v>
      </c>
      <c r="X295" s="232" cm="1">
        <f t="array" ref="X295">SUMPRODUCT((OCT!M_Verweiszeile=$H295)*OCT!M_Reise*(OCT!M_Monat=$E295))</f>
        <v>0</v>
      </c>
      <c r="Y295" s="232" cm="1">
        <f t="array" ref="Y295">SUMPRODUCT((OCT!M_Verweiszeile=$H295)*OCT!M_Reiseabzug*(OCT!M_Monat=$E295))</f>
        <v>0</v>
      </c>
      <c r="Z295" s="232">
        <f t="shared" si="80"/>
        <v>0</v>
      </c>
      <c r="AA295" s="232">
        <f t="shared" si="70"/>
        <v>0</v>
      </c>
      <c r="AB295" s="232">
        <f t="shared" si="71"/>
        <v>0</v>
      </c>
      <c r="AC295" s="232">
        <f t="shared" si="81"/>
        <v>0</v>
      </c>
      <c r="AD295" s="232">
        <f t="shared" si="82"/>
        <v>0</v>
      </c>
      <c r="AE295" s="232">
        <f t="shared" si="83"/>
        <v>0</v>
      </c>
    </row>
    <row r="296" spans="3:31" s="185" customFormat="1" x14ac:dyDescent="0.2">
      <c r="C296" s="128">
        <v>287</v>
      </c>
      <c r="D296" s="186">
        <f t="shared" si="84"/>
        <v>46309</v>
      </c>
      <c r="E296" s="128">
        <f t="shared" si="72"/>
        <v>10</v>
      </c>
      <c r="F296" s="187">
        <f t="shared" si="73"/>
        <v>46309</v>
      </c>
      <c r="G296" s="128">
        <f t="shared" si="74"/>
        <v>42</v>
      </c>
      <c r="H296" s="128">
        <f t="shared" si="75"/>
        <v>14</v>
      </c>
      <c r="I296" s="128">
        <f t="shared" si="76"/>
        <v>3</v>
      </c>
      <c r="J296" s="188">
        <f t="shared" si="77"/>
        <v>46309</v>
      </c>
      <c r="K296" s="128" t="str" cm="1">
        <f t="array" ref="K296">IF(AND(I296&lt;7,INDEX(B_tblFTMatrix,$E296,$H296)="x"),"ft","")</f>
        <v/>
      </c>
      <c r="L296" s="128"/>
      <c r="M296" s="128"/>
      <c r="N296" s="128">
        <f t="shared" si="68"/>
        <v>1</v>
      </c>
      <c r="O296" s="128">
        <f t="shared" si="78"/>
        <v>1</v>
      </c>
      <c r="P296" s="227">
        <f t="shared" si="69"/>
        <v>8</v>
      </c>
      <c r="Q296" s="229" cm="1">
        <f t="array" ref="Q296">SUMPRODUCT((H_tblBGTage=I296)*(H_tblBGMnt=E296)*H_tblBG%)</f>
        <v>1</v>
      </c>
      <c r="R296" s="227">
        <f t="shared" si="79"/>
        <v>8</v>
      </c>
      <c r="S296" s="233"/>
      <c r="T296" s="233"/>
      <c r="U296" s="232" cm="1">
        <f t="array" ref="U296">SUMPRODUCT((OCT!M_Verweiszeile=$H296)*OCT!M_ProdTag*(OCT!M_Monat=$E296))</f>
        <v>0</v>
      </c>
      <c r="V296" s="232" cm="1">
        <f t="array" ref="V296">SUMPRODUCT((OCT!M_Verweiszeile=$H296)*OCT!M_ProdN1*(OCT!M_Monat=$E296))</f>
        <v>0</v>
      </c>
      <c r="W296" s="232" cm="1">
        <f t="array" ref="W296">SUMPRODUCT((OCT!M_Verweiszeile=$H296)*OCT!M_ProdN2*(OCT!M_Monat=$E296))</f>
        <v>0</v>
      </c>
      <c r="X296" s="232" cm="1">
        <f t="array" ref="X296">SUMPRODUCT((OCT!M_Verweiszeile=$H296)*OCT!M_Reise*(OCT!M_Monat=$E296))</f>
        <v>0</v>
      </c>
      <c r="Y296" s="232" cm="1">
        <f t="array" ref="Y296">SUMPRODUCT((OCT!M_Verweiszeile=$H296)*OCT!M_Reiseabzug*(OCT!M_Monat=$E296))</f>
        <v>0</v>
      </c>
      <c r="Z296" s="232">
        <f t="shared" si="80"/>
        <v>0</v>
      </c>
      <c r="AA296" s="232">
        <f t="shared" si="70"/>
        <v>0</v>
      </c>
      <c r="AB296" s="232">
        <f t="shared" si="71"/>
        <v>0</v>
      </c>
      <c r="AC296" s="232">
        <f t="shared" si="81"/>
        <v>0</v>
      </c>
      <c r="AD296" s="232">
        <f t="shared" si="82"/>
        <v>0</v>
      </c>
      <c r="AE296" s="232">
        <f t="shared" si="83"/>
        <v>0</v>
      </c>
    </row>
    <row r="297" spans="3:31" s="185" customFormat="1" x14ac:dyDescent="0.2">
      <c r="C297" s="128">
        <v>288</v>
      </c>
      <c r="D297" s="186">
        <f t="shared" si="84"/>
        <v>46310</v>
      </c>
      <c r="E297" s="128">
        <f t="shared" si="72"/>
        <v>10</v>
      </c>
      <c r="F297" s="187">
        <f t="shared" si="73"/>
        <v>46310</v>
      </c>
      <c r="G297" s="128">
        <f t="shared" si="74"/>
        <v>42</v>
      </c>
      <c r="H297" s="128">
        <f t="shared" si="75"/>
        <v>15</v>
      </c>
      <c r="I297" s="128">
        <f t="shared" si="76"/>
        <v>4</v>
      </c>
      <c r="J297" s="188">
        <f t="shared" si="77"/>
        <v>46310</v>
      </c>
      <c r="K297" s="128" t="str" cm="1">
        <f t="array" ref="K297">IF(AND(I297&lt;7,INDEX(B_tblFTMatrix,$E297,$H297)="x"),"ft","")</f>
        <v/>
      </c>
      <c r="L297" s="128"/>
      <c r="M297" s="128"/>
      <c r="N297" s="128">
        <f t="shared" si="68"/>
        <v>1</v>
      </c>
      <c r="O297" s="128">
        <f t="shared" si="78"/>
        <v>1</v>
      </c>
      <c r="P297" s="227">
        <f t="shared" si="69"/>
        <v>8</v>
      </c>
      <c r="Q297" s="229" cm="1">
        <f t="array" ref="Q297">SUMPRODUCT((H_tblBGTage=I297)*(H_tblBGMnt=E297)*H_tblBG%)</f>
        <v>1</v>
      </c>
      <c r="R297" s="227">
        <f t="shared" si="79"/>
        <v>8</v>
      </c>
      <c r="S297" s="233"/>
      <c r="T297" s="233"/>
      <c r="U297" s="232" cm="1">
        <f t="array" ref="U297">SUMPRODUCT((OCT!M_Verweiszeile=$H297)*OCT!M_ProdTag*(OCT!M_Monat=$E297))</f>
        <v>0</v>
      </c>
      <c r="V297" s="232" cm="1">
        <f t="array" ref="V297">SUMPRODUCT((OCT!M_Verweiszeile=$H297)*OCT!M_ProdN1*(OCT!M_Monat=$E297))</f>
        <v>0</v>
      </c>
      <c r="W297" s="232" cm="1">
        <f t="array" ref="W297">SUMPRODUCT((OCT!M_Verweiszeile=$H297)*OCT!M_ProdN2*(OCT!M_Monat=$E297))</f>
        <v>0</v>
      </c>
      <c r="X297" s="232" cm="1">
        <f t="array" ref="X297">SUMPRODUCT((OCT!M_Verweiszeile=$H297)*OCT!M_Reise*(OCT!M_Monat=$E297))</f>
        <v>0</v>
      </c>
      <c r="Y297" s="232" cm="1">
        <f t="array" ref="Y297">SUMPRODUCT((OCT!M_Verweiszeile=$H297)*OCT!M_Reiseabzug*(OCT!M_Monat=$E297))</f>
        <v>0</v>
      </c>
      <c r="Z297" s="232">
        <f t="shared" si="80"/>
        <v>0</v>
      </c>
      <c r="AA297" s="232">
        <f t="shared" si="70"/>
        <v>0</v>
      </c>
      <c r="AB297" s="232">
        <f t="shared" si="71"/>
        <v>0</v>
      </c>
      <c r="AC297" s="232">
        <f t="shared" si="81"/>
        <v>0</v>
      </c>
      <c r="AD297" s="232">
        <f t="shared" si="82"/>
        <v>0</v>
      </c>
      <c r="AE297" s="232">
        <f t="shared" si="83"/>
        <v>0</v>
      </c>
    </row>
    <row r="298" spans="3:31" s="185" customFormat="1" x14ac:dyDescent="0.2">
      <c r="C298" s="128">
        <v>289</v>
      </c>
      <c r="D298" s="186">
        <f t="shared" si="84"/>
        <v>46311</v>
      </c>
      <c r="E298" s="128">
        <f t="shared" si="72"/>
        <v>10</v>
      </c>
      <c r="F298" s="187">
        <f t="shared" si="73"/>
        <v>46311</v>
      </c>
      <c r="G298" s="128">
        <f t="shared" si="74"/>
        <v>42</v>
      </c>
      <c r="H298" s="128">
        <f t="shared" si="75"/>
        <v>16</v>
      </c>
      <c r="I298" s="128">
        <f t="shared" si="76"/>
        <v>5</v>
      </c>
      <c r="J298" s="188">
        <f t="shared" si="77"/>
        <v>46311</v>
      </c>
      <c r="K298" s="128" t="str" cm="1">
        <f t="array" ref="K298">IF(AND(I298&lt;7,INDEX(B_tblFTMatrix,$E298,$H298)="x"),"ft","")</f>
        <v/>
      </c>
      <c r="L298" s="128"/>
      <c r="M298" s="128"/>
      <c r="N298" s="128">
        <f t="shared" si="68"/>
        <v>1</v>
      </c>
      <c r="O298" s="128">
        <f t="shared" si="78"/>
        <v>1</v>
      </c>
      <c r="P298" s="227">
        <f t="shared" si="69"/>
        <v>8</v>
      </c>
      <c r="Q298" s="229" cm="1">
        <f t="array" ref="Q298">SUMPRODUCT((H_tblBGTage=I298)*(H_tblBGMnt=E298)*H_tblBG%)</f>
        <v>1</v>
      </c>
      <c r="R298" s="227">
        <f t="shared" si="79"/>
        <v>8</v>
      </c>
      <c r="S298" s="233"/>
      <c r="T298" s="233"/>
      <c r="U298" s="232" cm="1">
        <f t="array" ref="U298">SUMPRODUCT((OCT!M_Verweiszeile=$H298)*OCT!M_ProdTag*(OCT!M_Monat=$E298))</f>
        <v>0</v>
      </c>
      <c r="V298" s="232" cm="1">
        <f t="array" ref="V298">SUMPRODUCT((OCT!M_Verweiszeile=$H298)*OCT!M_ProdN1*(OCT!M_Monat=$E298))</f>
        <v>0</v>
      </c>
      <c r="W298" s="232" cm="1">
        <f t="array" ref="W298">SUMPRODUCT((OCT!M_Verweiszeile=$H298)*OCT!M_ProdN2*(OCT!M_Monat=$E298))</f>
        <v>0</v>
      </c>
      <c r="X298" s="232" cm="1">
        <f t="array" ref="X298">SUMPRODUCT((OCT!M_Verweiszeile=$H298)*OCT!M_Reise*(OCT!M_Monat=$E298))</f>
        <v>0</v>
      </c>
      <c r="Y298" s="232" cm="1">
        <f t="array" ref="Y298">SUMPRODUCT((OCT!M_Verweiszeile=$H298)*OCT!M_Reiseabzug*(OCT!M_Monat=$E298))</f>
        <v>0</v>
      </c>
      <c r="Z298" s="232">
        <f t="shared" si="80"/>
        <v>0</v>
      </c>
      <c r="AA298" s="232">
        <f t="shared" si="70"/>
        <v>0</v>
      </c>
      <c r="AB298" s="232">
        <f t="shared" si="71"/>
        <v>0</v>
      </c>
      <c r="AC298" s="232">
        <f t="shared" si="81"/>
        <v>0</v>
      </c>
      <c r="AD298" s="232">
        <f t="shared" si="82"/>
        <v>0</v>
      </c>
      <c r="AE298" s="232">
        <f t="shared" si="83"/>
        <v>0</v>
      </c>
    </row>
    <row r="299" spans="3:31" s="185" customFormat="1" x14ac:dyDescent="0.2">
      <c r="C299" s="128">
        <v>290</v>
      </c>
      <c r="D299" s="186">
        <f t="shared" si="84"/>
        <v>46312</v>
      </c>
      <c r="E299" s="128">
        <f t="shared" si="72"/>
        <v>10</v>
      </c>
      <c r="F299" s="187">
        <f t="shared" si="73"/>
        <v>46312</v>
      </c>
      <c r="G299" s="128">
        <f t="shared" si="74"/>
        <v>42</v>
      </c>
      <c r="H299" s="128">
        <f t="shared" si="75"/>
        <v>17</v>
      </c>
      <c r="I299" s="128">
        <f t="shared" si="76"/>
        <v>6</v>
      </c>
      <c r="J299" s="188">
        <f t="shared" si="77"/>
        <v>46312</v>
      </c>
      <c r="K299" s="128" t="str" cm="1">
        <f t="array" ref="K299">IF(AND(I299&lt;7,INDEX(B_tblFTMatrix,$E299,$H299)="x"),"ft","")</f>
        <v/>
      </c>
      <c r="L299" s="128"/>
      <c r="M299" s="128"/>
      <c r="N299" s="128">
        <f t="shared" si="68"/>
        <v>0</v>
      </c>
      <c r="O299" s="128">
        <f t="shared" si="78"/>
        <v>0</v>
      </c>
      <c r="P299" s="227">
        <f t="shared" si="69"/>
        <v>0</v>
      </c>
      <c r="Q299" s="229" cm="1">
        <f t="array" ref="Q299">SUMPRODUCT((H_tblBGTage=I299)*(H_tblBGMnt=E299)*H_tblBG%)</f>
        <v>0</v>
      </c>
      <c r="R299" s="227">
        <f t="shared" si="79"/>
        <v>0</v>
      </c>
      <c r="S299" s="233"/>
      <c r="T299" s="233"/>
      <c r="U299" s="232" cm="1">
        <f t="array" ref="U299">SUMPRODUCT((OCT!M_Verweiszeile=$H299)*OCT!M_ProdTag*(OCT!M_Monat=$E299))</f>
        <v>0</v>
      </c>
      <c r="V299" s="232" cm="1">
        <f t="array" ref="V299">SUMPRODUCT((OCT!M_Verweiszeile=$H299)*OCT!M_ProdN1*(OCT!M_Monat=$E299))</f>
        <v>0</v>
      </c>
      <c r="W299" s="232" cm="1">
        <f t="array" ref="W299">SUMPRODUCT((OCT!M_Verweiszeile=$H299)*OCT!M_ProdN2*(OCT!M_Monat=$E299))</f>
        <v>0</v>
      </c>
      <c r="X299" s="232" cm="1">
        <f t="array" ref="X299">SUMPRODUCT((OCT!M_Verweiszeile=$H299)*OCT!M_Reise*(OCT!M_Monat=$E299))</f>
        <v>0</v>
      </c>
      <c r="Y299" s="232" cm="1">
        <f t="array" ref="Y299">SUMPRODUCT((OCT!M_Verweiszeile=$H299)*OCT!M_Reiseabzug*(OCT!M_Monat=$E299))</f>
        <v>0</v>
      </c>
      <c r="Z299" s="232">
        <f t="shared" si="80"/>
        <v>0</v>
      </c>
      <c r="AA299" s="232">
        <f t="shared" si="70"/>
        <v>0</v>
      </c>
      <c r="AB299" s="232">
        <f t="shared" si="71"/>
        <v>0</v>
      </c>
      <c r="AC299" s="232">
        <f t="shared" si="81"/>
        <v>0</v>
      </c>
      <c r="AD299" s="232">
        <f t="shared" si="82"/>
        <v>0</v>
      </c>
      <c r="AE299" s="232">
        <f t="shared" si="83"/>
        <v>0</v>
      </c>
    </row>
    <row r="300" spans="3:31" s="185" customFormat="1" x14ac:dyDescent="0.2">
      <c r="C300" s="128">
        <v>291</v>
      </c>
      <c r="D300" s="186">
        <f t="shared" si="84"/>
        <v>46313</v>
      </c>
      <c r="E300" s="128">
        <f t="shared" si="72"/>
        <v>10</v>
      </c>
      <c r="F300" s="187">
        <f t="shared" si="73"/>
        <v>46313</v>
      </c>
      <c r="G300" s="128">
        <f t="shared" si="74"/>
        <v>42</v>
      </c>
      <c r="H300" s="128">
        <f t="shared" si="75"/>
        <v>18</v>
      </c>
      <c r="I300" s="128">
        <f t="shared" si="76"/>
        <v>7</v>
      </c>
      <c r="J300" s="188">
        <f t="shared" si="77"/>
        <v>46313</v>
      </c>
      <c r="K300" s="128" t="str" cm="1">
        <f t="array" ref="K300">IF(AND(I300&lt;7,INDEX(B_tblFTMatrix,$E300,$H300)="x"),"ft","")</f>
        <v/>
      </c>
      <c r="L300" s="128"/>
      <c r="M300" s="128"/>
      <c r="N300" s="128">
        <f t="shared" si="68"/>
        <v>0</v>
      </c>
      <c r="O300" s="128">
        <f t="shared" si="78"/>
        <v>0</v>
      </c>
      <c r="P300" s="227">
        <f t="shared" si="69"/>
        <v>0</v>
      </c>
      <c r="Q300" s="229" cm="1">
        <f t="array" ref="Q300">SUMPRODUCT((H_tblBGTage=I300)*(H_tblBGMnt=E300)*H_tblBG%)</f>
        <v>0</v>
      </c>
      <c r="R300" s="227">
        <f t="shared" si="79"/>
        <v>0</v>
      </c>
      <c r="S300" s="233"/>
      <c r="T300" s="233"/>
      <c r="U300" s="232" cm="1">
        <f t="array" ref="U300">SUMPRODUCT((OCT!M_Verweiszeile=$H300)*OCT!M_ProdTag*(OCT!M_Monat=$E300))</f>
        <v>0</v>
      </c>
      <c r="V300" s="232" cm="1">
        <f t="array" ref="V300">SUMPRODUCT((OCT!M_Verweiszeile=$H300)*OCT!M_ProdN1*(OCT!M_Monat=$E300))</f>
        <v>0</v>
      </c>
      <c r="W300" s="232" cm="1">
        <f t="array" ref="W300">SUMPRODUCT((OCT!M_Verweiszeile=$H300)*OCT!M_ProdN2*(OCT!M_Monat=$E300))</f>
        <v>0</v>
      </c>
      <c r="X300" s="232" cm="1">
        <f t="array" ref="X300">SUMPRODUCT((OCT!M_Verweiszeile=$H300)*OCT!M_Reise*(OCT!M_Monat=$E300))</f>
        <v>0</v>
      </c>
      <c r="Y300" s="232" cm="1">
        <f t="array" ref="Y300">SUMPRODUCT((OCT!M_Verweiszeile=$H300)*OCT!M_Reiseabzug*(OCT!M_Monat=$E300))</f>
        <v>0</v>
      </c>
      <c r="Z300" s="232">
        <f t="shared" si="80"/>
        <v>0</v>
      </c>
      <c r="AA300" s="232">
        <f t="shared" si="70"/>
        <v>0</v>
      </c>
      <c r="AB300" s="232">
        <f t="shared" si="71"/>
        <v>0</v>
      </c>
      <c r="AC300" s="232">
        <f t="shared" si="81"/>
        <v>0</v>
      </c>
      <c r="AD300" s="232">
        <f t="shared" si="82"/>
        <v>0</v>
      </c>
      <c r="AE300" s="232">
        <f t="shared" si="83"/>
        <v>0</v>
      </c>
    </row>
    <row r="301" spans="3:31" s="185" customFormat="1" x14ac:dyDescent="0.2">
      <c r="C301" s="128">
        <v>292</v>
      </c>
      <c r="D301" s="186">
        <f t="shared" si="84"/>
        <v>46314</v>
      </c>
      <c r="E301" s="128">
        <f t="shared" si="72"/>
        <v>10</v>
      </c>
      <c r="F301" s="187">
        <f t="shared" si="73"/>
        <v>46314</v>
      </c>
      <c r="G301" s="128">
        <f t="shared" si="74"/>
        <v>43</v>
      </c>
      <c r="H301" s="128">
        <f t="shared" si="75"/>
        <v>19</v>
      </c>
      <c r="I301" s="128">
        <f t="shared" si="76"/>
        <v>1</v>
      </c>
      <c r="J301" s="188">
        <f t="shared" si="77"/>
        <v>46314</v>
      </c>
      <c r="K301" s="128" t="str" cm="1">
        <f t="array" ref="K301">IF(AND(I301&lt;7,INDEX(B_tblFTMatrix,$E301,$H301)="x"),"ft","")</f>
        <v/>
      </c>
      <c r="L301" s="128"/>
      <c r="M301" s="128"/>
      <c r="N301" s="128">
        <f t="shared" si="68"/>
        <v>1</v>
      </c>
      <c r="O301" s="128">
        <f t="shared" si="78"/>
        <v>1</v>
      </c>
      <c r="P301" s="227">
        <f t="shared" si="69"/>
        <v>8</v>
      </c>
      <c r="Q301" s="229" cm="1">
        <f t="array" ref="Q301">SUMPRODUCT((H_tblBGTage=I301)*(H_tblBGMnt=E301)*H_tblBG%)</f>
        <v>1</v>
      </c>
      <c r="R301" s="227">
        <f t="shared" si="79"/>
        <v>8</v>
      </c>
      <c r="S301" s="233"/>
      <c r="T301" s="233"/>
      <c r="U301" s="232" cm="1">
        <f t="array" ref="U301">SUMPRODUCT((OCT!M_Verweiszeile=$H301)*OCT!M_ProdTag*(OCT!M_Monat=$E301))</f>
        <v>0</v>
      </c>
      <c r="V301" s="232" cm="1">
        <f t="array" ref="V301">SUMPRODUCT((OCT!M_Verweiszeile=$H301)*OCT!M_ProdN1*(OCT!M_Monat=$E301))</f>
        <v>0</v>
      </c>
      <c r="W301" s="232" cm="1">
        <f t="array" ref="W301">SUMPRODUCT((OCT!M_Verweiszeile=$H301)*OCT!M_ProdN2*(OCT!M_Monat=$E301))</f>
        <v>0</v>
      </c>
      <c r="X301" s="232" cm="1">
        <f t="array" ref="X301">SUMPRODUCT((OCT!M_Verweiszeile=$H301)*OCT!M_Reise*(OCT!M_Monat=$E301))</f>
        <v>0</v>
      </c>
      <c r="Y301" s="232" cm="1">
        <f t="array" ref="Y301">SUMPRODUCT((OCT!M_Verweiszeile=$H301)*OCT!M_Reiseabzug*(OCT!M_Monat=$E301))</f>
        <v>0</v>
      </c>
      <c r="Z301" s="232">
        <f t="shared" si="80"/>
        <v>0</v>
      </c>
      <c r="AA301" s="232">
        <f t="shared" si="70"/>
        <v>0</v>
      </c>
      <c r="AB301" s="232">
        <f t="shared" si="71"/>
        <v>0</v>
      </c>
      <c r="AC301" s="232">
        <f t="shared" si="81"/>
        <v>0</v>
      </c>
      <c r="AD301" s="232">
        <f t="shared" si="82"/>
        <v>0</v>
      </c>
      <c r="AE301" s="232">
        <f t="shared" si="83"/>
        <v>0</v>
      </c>
    </row>
    <row r="302" spans="3:31" s="185" customFormat="1" x14ac:dyDescent="0.2">
      <c r="C302" s="128">
        <v>293</v>
      </c>
      <c r="D302" s="186">
        <f t="shared" si="84"/>
        <v>46315</v>
      </c>
      <c r="E302" s="128">
        <f t="shared" si="72"/>
        <v>10</v>
      </c>
      <c r="F302" s="187">
        <f t="shared" si="73"/>
        <v>46315</v>
      </c>
      <c r="G302" s="128">
        <f t="shared" si="74"/>
        <v>43</v>
      </c>
      <c r="H302" s="128">
        <f t="shared" si="75"/>
        <v>20</v>
      </c>
      <c r="I302" s="128">
        <f t="shared" si="76"/>
        <v>2</v>
      </c>
      <c r="J302" s="188">
        <f t="shared" si="77"/>
        <v>46315</v>
      </c>
      <c r="K302" s="128" t="str" cm="1">
        <f t="array" ref="K302">IF(AND(I302&lt;7,INDEX(B_tblFTMatrix,$E302,$H302)="x"),"ft","")</f>
        <v/>
      </c>
      <c r="L302" s="128"/>
      <c r="M302" s="128"/>
      <c r="N302" s="128">
        <f t="shared" si="68"/>
        <v>1</v>
      </c>
      <c r="O302" s="128">
        <f t="shared" si="78"/>
        <v>1</v>
      </c>
      <c r="P302" s="227">
        <f t="shared" si="69"/>
        <v>8</v>
      </c>
      <c r="Q302" s="229" cm="1">
        <f t="array" ref="Q302">SUMPRODUCT((H_tblBGTage=I302)*(H_tblBGMnt=E302)*H_tblBG%)</f>
        <v>1</v>
      </c>
      <c r="R302" s="227">
        <f t="shared" si="79"/>
        <v>8</v>
      </c>
      <c r="S302" s="233"/>
      <c r="T302" s="233"/>
      <c r="U302" s="232" cm="1">
        <f t="array" ref="U302">SUMPRODUCT((OCT!M_Verweiszeile=$H302)*OCT!M_ProdTag*(OCT!M_Monat=$E302))</f>
        <v>0</v>
      </c>
      <c r="V302" s="232" cm="1">
        <f t="array" ref="V302">SUMPRODUCT((OCT!M_Verweiszeile=$H302)*OCT!M_ProdN1*(OCT!M_Monat=$E302))</f>
        <v>0</v>
      </c>
      <c r="W302" s="232" cm="1">
        <f t="array" ref="W302">SUMPRODUCT((OCT!M_Verweiszeile=$H302)*OCT!M_ProdN2*(OCT!M_Monat=$E302))</f>
        <v>0</v>
      </c>
      <c r="X302" s="232" cm="1">
        <f t="array" ref="X302">SUMPRODUCT((OCT!M_Verweiszeile=$H302)*OCT!M_Reise*(OCT!M_Monat=$E302))</f>
        <v>0</v>
      </c>
      <c r="Y302" s="232" cm="1">
        <f t="array" ref="Y302">SUMPRODUCT((OCT!M_Verweiszeile=$H302)*OCT!M_Reiseabzug*(OCT!M_Monat=$E302))</f>
        <v>0</v>
      </c>
      <c r="Z302" s="232">
        <f t="shared" si="80"/>
        <v>0</v>
      </c>
      <c r="AA302" s="232">
        <f t="shared" si="70"/>
        <v>0</v>
      </c>
      <c r="AB302" s="232">
        <f t="shared" si="71"/>
        <v>0</v>
      </c>
      <c r="AC302" s="232">
        <f t="shared" si="81"/>
        <v>0</v>
      </c>
      <c r="AD302" s="232">
        <f t="shared" si="82"/>
        <v>0</v>
      </c>
      <c r="AE302" s="232">
        <f t="shared" si="83"/>
        <v>0</v>
      </c>
    </row>
    <row r="303" spans="3:31" s="185" customFormat="1" x14ac:dyDescent="0.2">
      <c r="C303" s="128">
        <v>294</v>
      </c>
      <c r="D303" s="186">
        <f t="shared" si="84"/>
        <v>46316</v>
      </c>
      <c r="E303" s="128">
        <f t="shared" si="72"/>
        <v>10</v>
      </c>
      <c r="F303" s="187">
        <f t="shared" si="73"/>
        <v>46316</v>
      </c>
      <c r="G303" s="128">
        <f t="shared" si="74"/>
        <v>43</v>
      </c>
      <c r="H303" s="128">
        <f t="shared" si="75"/>
        <v>21</v>
      </c>
      <c r="I303" s="128">
        <f t="shared" si="76"/>
        <v>3</v>
      </c>
      <c r="J303" s="188">
        <f t="shared" si="77"/>
        <v>46316</v>
      </c>
      <c r="K303" s="128" t="str" cm="1">
        <f t="array" ref="K303">IF(AND(I303&lt;7,INDEX(B_tblFTMatrix,$E303,$H303)="x"),"ft","")</f>
        <v/>
      </c>
      <c r="L303" s="128"/>
      <c r="M303" s="128"/>
      <c r="N303" s="128">
        <f t="shared" si="68"/>
        <v>1</v>
      </c>
      <c r="O303" s="128">
        <f t="shared" si="78"/>
        <v>1</v>
      </c>
      <c r="P303" s="227">
        <f t="shared" si="69"/>
        <v>8</v>
      </c>
      <c r="Q303" s="229" cm="1">
        <f t="array" ref="Q303">SUMPRODUCT((H_tblBGTage=I303)*(H_tblBGMnt=E303)*H_tblBG%)</f>
        <v>1</v>
      </c>
      <c r="R303" s="227">
        <f t="shared" si="79"/>
        <v>8</v>
      </c>
      <c r="S303" s="233"/>
      <c r="T303" s="233"/>
      <c r="U303" s="232" cm="1">
        <f t="array" ref="U303">SUMPRODUCT((OCT!M_Verweiszeile=$H303)*OCT!M_ProdTag*(OCT!M_Monat=$E303))</f>
        <v>0</v>
      </c>
      <c r="V303" s="232" cm="1">
        <f t="array" ref="V303">SUMPRODUCT((OCT!M_Verweiszeile=$H303)*OCT!M_ProdN1*(OCT!M_Monat=$E303))</f>
        <v>0</v>
      </c>
      <c r="W303" s="232" cm="1">
        <f t="array" ref="W303">SUMPRODUCT((OCT!M_Verweiszeile=$H303)*OCT!M_ProdN2*(OCT!M_Monat=$E303))</f>
        <v>0</v>
      </c>
      <c r="X303" s="232" cm="1">
        <f t="array" ref="X303">SUMPRODUCT((OCT!M_Verweiszeile=$H303)*OCT!M_Reise*(OCT!M_Monat=$E303))</f>
        <v>0</v>
      </c>
      <c r="Y303" s="232" cm="1">
        <f t="array" ref="Y303">SUMPRODUCT((OCT!M_Verweiszeile=$H303)*OCT!M_Reiseabzug*(OCT!M_Monat=$E303))</f>
        <v>0</v>
      </c>
      <c r="Z303" s="232">
        <f t="shared" si="80"/>
        <v>0</v>
      </c>
      <c r="AA303" s="232">
        <f t="shared" si="70"/>
        <v>0</v>
      </c>
      <c r="AB303" s="232">
        <f t="shared" si="71"/>
        <v>0</v>
      </c>
      <c r="AC303" s="232">
        <f t="shared" si="81"/>
        <v>0</v>
      </c>
      <c r="AD303" s="232">
        <f t="shared" si="82"/>
        <v>0</v>
      </c>
      <c r="AE303" s="232">
        <f t="shared" si="83"/>
        <v>0</v>
      </c>
    </row>
    <row r="304" spans="3:31" s="185" customFormat="1" x14ac:dyDescent="0.2">
      <c r="C304" s="128">
        <v>295</v>
      </c>
      <c r="D304" s="186">
        <f t="shared" si="84"/>
        <v>46317</v>
      </c>
      <c r="E304" s="128">
        <f t="shared" si="72"/>
        <v>10</v>
      </c>
      <c r="F304" s="187">
        <f t="shared" si="73"/>
        <v>46317</v>
      </c>
      <c r="G304" s="128">
        <f t="shared" si="74"/>
        <v>43</v>
      </c>
      <c r="H304" s="128">
        <f t="shared" si="75"/>
        <v>22</v>
      </c>
      <c r="I304" s="128">
        <f t="shared" si="76"/>
        <v>4</v>
      </c>
      <c r="J304" s="188">
        <f t="shared" si="77"/>
        <v>46317</v>
      </c>
      <c r="K304" s="128" t="str" cm="1">
        <f t="array" ref="K304">IF(AND(I304&lt;7,INDEX(B_tblFTMatrix,$E304,$H304)="x"),"ft","")</f>
        <v/>
      </c>
      <c r="L304" s="128"/>
      <c r="M304" s="128"/>
      <c r="N304" s="128">
        <f t="shared" si="68"/>
        <v>1</v>
      </c>
      <c r="O304" s="128">
        <f t="shared" si="78"/>
        <v>1</v>
      </c>
      <c r="P304" s="227">
        <f t="shared" si="69"/>
        <v>8</v>
      </c>
      <c r="Q304" s="229" cm="1">
        <f t="array" ref="Q304">SUMPRODUCT((H_tblBGTage=I304)*(H_tblBGMnt=E304)*H_tblBG%)</f>
        <v>1</v>
      </c>
      <c r="R304" s="227">
        <f t="shared" si="79"/>
        <v>8</v>
      </c>
      <c r="S304" s="233"/>
      <c r="T304" s="233"/>
      <c r="U304" s="232" cm="1">
        <f t="array" ref="U304">SUMPRODUCT((OCT!M_Verweiszeile=$H304)*OCT!M_ProdTag*(OCT!M_Monat=$E304))</f>
        <v>0</v>
      </c>
      <c r="V304" s="232" cm="1">
        <f t="array" ref="V304">SUMPRODUCT((OCT!M_Verweiszeile=$H304)*OCT!M_ProdN1*(OCT!M_Monat=$E304))</f>
        <v>0</v>
      </c>
      <c r="W304" s="232" cm="1">
        <f t="array" ref="W304">SUMPRODUCT((OCT!M_Verweiszeile=$H304)*OCT!M_ProdN2*(OCT!M_Monat=$E304))</f>
        <v>0</v>
      </c>
      <c r="X304" s="232" cm="1">
        <f t="array" ref="X304">SUMPRODUCT((OCT!M_Verweiszeile=$H304)*OCT!M_Reise*(OCT!M_Monat=$E304))</f>
        <v>0</v>
      </c>
      <c r="Y304" s="232" cm="1">
        <f t="array" ref="Y304">SUMPRODUCT((OCT!M_Verweiszeile=$H304)*OCT!M_Reiseabzug*(OCT!M_Monat=$E304))</f>
        <v>0</v>
      </c>
      <c r="Z304" s="232">
        <f t="shared" si="80"/>
        <v>0</v>
      </c>
      <c r="AA304" s="232">
        <f t="shared" si="70"/>
        <v>0</v>
      </c>
      <c r="AB304" s="232">
        <f t="shared" si="71"/>
        <v>0</v>
      </c>
      <c r="AC304" s="232">
        <f t="shared" si="81"/>
        <v>0</v>
      </c>
      <c r="AD304" s="232">
        <f t="shared" si="82"/>
        <v>0</v>
      </c>
      <c r="AE304" s="232">
        <f t="shared" si="83"/>
        <v>0</v>
      </c>
    </row>
    <row r="305" spans="3:31" s="185" customFormat="1" x14ac:dyDescent="0.2">
      <c r="C305" s="128">
        <v>296</v>
      </c>
      <c r="D305" s="186">
        <f t="shared" si="84"/>
        <v>46318</v>
      </c>
      <c r="E305" s="128">
        <f t="shared" si="72"/>
        <v>10</v>
      </c>
      <c r="F305" s="187">
        <f t="shared" si="73"/>
        <v>46318</v>
      </c>
      <c r="G305" s="128">
        <f t="shared" si="74"/>
        <v>43</v>
      </c>
      <c r="H305" s="128">
        <f t="shared" si="75"/>
        <v>23</v>
      </c>
      <c r="I305" s="128">
        <f t="shared" si="76"/>
        <v>5</v>
      </c>
      <c r="J305" s="188">
        <f t="shared" si="77"/>
        <v>46318</v>
      </c>
      <c r="K305" s="128" t="str" cm="1">
        <f t="array" ref="K305">IF(AND(I305&lt;7,INDEX(B_tblFTMatrix,$E305,$H305)="x"),"ft","")</f>
        <v/>
      </c>
      <c r="L305" s="128"/>
      <c r="M305" s="128"/>
      <c r="N305" s="128">
        <f t="shared" si="68"/>
        <v>1</v>
      </c>
      <c r="O305" s="128">
        <f t="shared" si="78"/>
        <v>1</v>
      </c>
      <c r="P305" s="227">
        <f t="shared" si="69"/>
        <v>8</v>
      </c>
      <c r="Q305" s="229" cm="1">
        <f t="array" ref="Q305">SUMPRODUCT((H_tblBGTage=I305)*(H_tblBGMnt=E305)*H_tblBG%)</f>
        <v>1</v>
      </c>
      <c r="R305" s="227">
        <f t="shared" si="79"/>
        <v>8</v>
      </c>
      <c r="S305" s="233"/>
      <c r="T305" s="233"/>
      <c r="U305" s="232" cm="1">
        <f t="array" ref="U305">SUMPRODUCT((OCT!M_Verweiszeile=$H305)*OCT!M_ProdTag*(OCT!M_Monat=$E305))</f>
        <v>0</v>
      </c>
      <c r="V305" s="232" cm="1">
        <f t="array" ref="V305">SUMPRODUCT((OCT!M_Verweiszeile=$H305)*OCT!M_ProdN1*(OCT!M_Monat=$E305))</f>
        <v>0</v>
      </c>
      <c r="W305" s="232" cm="1">
        <f t="array" ref="W305">SUMPRODUCT((OCT!M_Verweiszeile=$H305)*OCT!M_ProdN2*(OCT!M_Monat=$E305))</f>
        <v>0</v>
      </c>
      <c r="X305" s="232" cm="1">
        <f t="array" ref="X305">SUMPRODUCT((OCT!M_Verweiszeile=$H305)*OCT!M_Reise*(OCT!M_Monat=$E305))</f>
        <v>0</v>
      </c>
      <c r="Y305" s="232" cm="1">
        <f t="array" ref="Y305">SUMPRODUCT((OCT!M_Verweiszeile=$H305)*OCT!M_Reiseabzug*(OCT!M_Monat=$E305))</f>
        <v>0</v>
      </c>
      <c r="Z305" s="232">
        <f t="shared" si="80"/>
        <v>0</v>
      </c>
      <c r="AA305" s="232">
        <f t="shared" si="70"/>
        <v>0</v>
      </c>
      <c r="AB305" s="232">
        <f t="shared" si="71"/>
        <v>0</v>
      </c>
      <c r="AC305" s="232">
        <f t="shared" si="81"/>
        <v>0</v>
      </c>
      <c r="AD305" s="232">
        <f t="shared" si="82"/>
        <v>0</v>
      </c>
      <c r="AE305" s="232">
        <f t="shared" si="83"/>
        <v>0</v>
      </c>
    </row>
    <row r="306" spans="3:31" s="185" customFormat="1" x14ac:dyDescent="0.2">
      <c r="C306" s="128">
        <v>297</v>
      </c>
      <c r="D306" s="186">
        <f t="shared" si="84"/>
        <v>46319</v>
      </c>
      <c r="E306" s="128">
        <f t="shared" si="72"/>
        <v>10</v>
      </c>
      <c r="F306" s="187">
        <f t="shared" si="73"/>
        <v>46319</v>
      </c>
      <c r="G306" s="128">
        <f t="shared" si="74"/>
        <v>43</v>
      </c>
      <c r="H306" s="128">
        <f t="shared" si="75"/>
        <v>24</v>
      </c>
      <c r="I306" s="128">
        <f t="shared" si="76"/>
        <v>6</v>
      </c>
      <c r="J306" s="188">
        <f t="shared" si="77"/>
        <v>46319</v>
      </c>
      <c r="K306" s="128" t="str" cm="1">
        <f t="array" ref="K306">IF(AND(I306&lt;7,INDEX(B_tblFTMatrix,$E306,$H306)="x"),"ft","")</f>
        <v/>
      </c>
      <c r="L306" s="128"/>
      <c r="M306" s="128"/>
      <c r="N306" s="128">
        <f t="shared" si="68"/>
        <v>0</v>
      </c>
      <c r="O306" s="128">
        <f t="shared" si="78"/>
        <v>0</v>
      </c>
      <c r="P306" s="227">
        <f t="shared" si="69"/>
        <v>0</v>
      </c>
      <c r="Q306" s="229" cm="1">
        <f t="array" ref="Q306">SUMPRODUCT((H_tblBGTage=I306)*(H_tblBGMnt=E306)*H_tblBG%)</f>
        <v>0</v>
      </c>
      <c r="R306" s="227">
        <f t="shared" si="79"/>
        <v>0</v>
      </c>
      <c r="S306" s="233"/>
      <c r="T306" s="233"/>
      <c r="U306" s="232" cm="1">
        <f t="array" ref="U306">SUMPRODUCT((OCT!M_Verweiszeile=$H306)*OCT!M_ProdTag*(OCT!M_Monat=$E306))</f>
        <v>0</v>
      </c>
      <c r="V306" s="232" cm="1">
        <f t="array" ref="V306">SUMPRODUCT((OCT!M_Verweiszeile=$H306)*OCT!M_ProdN1*(OCT!M_Monat=$E306))</f>
        <v>0</v>
      </c>
      <c r="W306" s="232" cm="1">
        <f t="array" ref="W306">SUMPRODUCT((OCT!M_Verweiszeile=$H306)*OCT!M_ProdN2*(OCT!M_Monat=$E306))</f>
        <v>0</v>
      </c>
      <c r="X306" s="232" cm="1">
        <f t="array" ref="X306">SUMPRODUCT((OCT!M_Verweiszeile=$H306)*OCT!M_Reise*(OCT!M_Monat=$E306))</f>
        <v>0</v>
      </c>
      <c r="Y306" s="232" cm="1">
        <f t="array" ref="Y306">SUMPRODUCT((OCT!M_Verweiszeile=$H306)*OCT!M_Reiseabzug*(OCT!M_Monat=$E306))</f>
        <v>0</v>
      </c>
      <c r="Z306" s="232">
        <f t="shared" si="80"/>
        <v>0</v>
      </c>
      <c r="AA306" s="232">
        <f t="shared" si="70"/>
        <v>0</v>
      </c>
      <c r="AB306" s="232">
        <f t="shared" si="71"/>
        <v>0</v>
      </c>
      <c r="AC306" s="232">
        <f t="shared" si="81"/>
        <v>0</v>
      </c>
      <c r="AD306" s="232">
        <f t="shared" si="82"/>
        <v>0</v>
      </c>
      <c r="AE306" s="232">
        <f t="shared" si="83"/>
        <v>0</v>
      </c>
    </row>
    <row r="307" spans="3:31" s="185" customFormat="1" x14ac:dyDescent="0.2">
      <c r="C307" s="128">
        <v>298</v>
      </c>
      <c r="D307" s="186">
        <f t="shared" si="84"/>
        <v>46320</v>
      </c>
      <c r="E307" s="128">
        <f t="shared" si="72"/>
        <v>10</v>
      </c>
      <c r="F307" s="187">
        <f t="shared" si="73"/>
        <v>46320</v>
      </c>
      <c r="G307" s="128">
        <f t="shared" si="74"/>
        <v>43</v>
      </c>
      <c r="H307" s="128">
        <f t="shared" si="75"/>
        <v>25</v>
      </c>
      <c r="I307" s="128">
        <f t="shared" si="76"/>
        <v>7</v>
      </c>
      <c r="J307" s="188">
        <f t="shared" si="77"/>
        <v>46320</v>
      </c>
      <c r="K307" s="128" t="str" cm="1">
        <f t="array" ref="K307">IF(AND(I307&lt;7,INDEX(B_tblFTMatrix,$E307,$H307)="x"),"ft","")</f>
        <v/>
      </c>
      <c r="L307" s="128"/>
      <c r="M307" s="128"/>
      <c r="N307" s="128">
        <f t="shared" si="68"/>
        <v>0</v>
      </c>
      <c r="O307" s="128">
        <f t="shared" si="78"/>
        <v>0</v>
      </c>
      <c r="P307" s="227">
        <f t="shared" si="69"/>
        <v>0</v>
      </c>
      <c r="Q307" s="229" cm="1">
        <f t="array" ref="Q307">SUMPRODUCT((H_tblBGTage=I307)*(H_tblBGMnt=E307)*H_tblBG%)</f>
        <v>0</v>
      </c>
      <c r="R307" s="227">
        <f t="shared" si="79"/>
        <v>0</v>
      </c>
      <c r="S307" s="233"/>
      <c r="T307" s="233"/>
      <c r="U307" s="232" cm="1">
        <f t="array" ref="U307">SUMPRODUCT((OCT!M_Verweiszeile=$H307)*OCT!M_ProdTag*(OCT!M_Monat=$E307))</f>
        <v>0</v>
      </c>
      <c r="V307" s="232" cm="1">
        <f t="array" ref="V307">SUMPRODUCT((OCT!M_Verweiszeile=$H307)*OCT!M_ProdN1*(OCT!M_Monat=$E307))</f>
        <v>0</v>
      </c>
      <c r="W307" s="232" cm="1">
        <f t="array" ref="W307">SUMPRODUCT((OCT!M_Verweiszeile=$H307)*OCT!M_ProdN2*(OCT!M_Monat=$E307))</f>
        <v>0</v>
      </c>
      <c r="X307" s="232" cm="1">
        <f t="array" ref="X307">SUMPRODUCT((OCT!M_Verweiszeile=$H307)*OCT!M_Reise*(OCT!M_Monat=$E307))</f>
        <v>0</v>
      </c>
      <c r="Y307" s="232" cm="1">
        <f t="array" ref="Y307">SUMPRODUCT((OCT!M_Verweiszeile=$H307)*OCT!M_Reiseabzug*(OCT!M_Monat=$E307))</f>
        <v>0</v>
      </c>
      <c r="Z307" s="232">
        <f t="shared" si="80"/>
        <v>0</v>
      </c>
      <c r="AA307" s="232">
        <f t="shared" si="70"/>
        <v>0</v>
      </c>
      <c r="AB307" s="232">
        <f t="shared" si="71"/>
        <v>0</v>
      </c>
      <c r="AC307" s="232">
        <f t="shared" si="81"/>
        <v>0</v>
      </c>
      <c r="AD307" s="232">
        <f t="shared" si="82"/>
        <v>0</v>
      </c>
      <c r="AE307" s="232">
        <f t="shared" si="83"/>
        <v>0</v>
      </c>
    </row>
    <row r="308" spans="3:31" s="185" customFormat="1" x14ac:dyDescent="0.2">
      <c r="C308" s="128">
        <v>299</v>
      </c>
      <c r="D308" s="186">
        <f t="shared" si="84"/>
        <v>46321</v>
      </c>
      <c r="E308" s="128">
        <f t="shared" si="72"/>
        <v>10</v>
      </c>
      <c r="F308" s="187">
        <f t="shared" si="73"/>
        <v>46321</v>
      </c>
      <c r="G308" s="128">
        <f t="shared" si="74"/>
        <v>44</v>
      </c>
      <c r="H308" s="128">
        <f t="shared" si="75"/>
        <v>26</v>
      </c>
      <c r="I308" s="128">
        <f t="shared" si="76"/>
        <v>1</v>
      </c>
      <c r="J308" s="188">
        <f t="shared" si="77"/>
        <v>46321</v>
      </c>
      <c r="K308" s="128" t="str" cm="1">
        <f t="array" ref="K308">IF(AND(I308&lt;7,INDEX(B_tblFTMatrix,$E308,$H308)="x"),"ft","")</f>
        <v/>
      </c>
      <c r="L308" s="128"/>
      <c r="M308" s="128"/>
      <c r="N308" s="128">
        <f t="shared" si="68"/>
        <v>1</v>
      </c>
      <c r="O308" s="128">
        <f t="shared" si="78"/>
        <v>1</v>
      </c>
      <c r="P308" s="227">
        <f t="shared" si="69"/>
        <v>8</v>
      </c>
      <c r="Q308" s="229" cm="1">
        <f t="array" ref="Q308">SUMPRODUCT((H_tblBGTage=I308)*(H_tblBGMnt=E308)*H_tblBG%)</f>
        <v>1</v>
      </c>
      <c r="R308" s="227">
        <f t="shared" si="79"/>
        <v>8</v>
      </c>
      <c r="S308" s="233"/>
      <c r="T308" s="233"/>
      <c r="U308" s="232" cm="1">
        <f t="array" ref="U308">SUMPRODUCT((OCT!M_Verweiszeile=$H308)*OCT!M_ProdTag*(OCT!M_Monat=$E308))</f>
        <v>0</v>
      </c>
      <c r="V308" s="232" cm="1">
        <f t="array" ref="V308">SUMPRODUCT((OCT!M_Verweiszeile=$H308)*OCT!M_ProdN1*(OCT!M_Monat=$E308))</f>
        <v>0</v>
      </c>
      <c r="W308" s="232" cm="1">
        <f t="array" ref="W308">SUMPRODUCT((OCT!M_Verweiszeile=$H308)*OCT!M_ProdN2*(OCT!M_Monat=$E308))</f>
        <v>0</v>
      </c>
      <c r="X308" s="232" cm="1">
        <f t="array" ref="X308">SUMPRODUCT((OCT!M_Verweiszeile=$H308)*OCT!M_Reise*(OCT!M_Monat=$E308))</f>
        <v>0</v>
      </c>
      <c r="Y308" s="232" cm="1">
        <f t="array" ref="Y308">SUMPRODUCT((OCT!M_Verweiszeile=$H308)*OCT!M_Reiseabzug*(OCT!M_Monat=$E308))</f>
        <v>0</v>
      </c>
      <c r="Z308" s="232">
        <f t="shared" si="80"/>
        <v>0</v>
      </c>
      <c r="AA308" s="232">
        <f t="shared" si="70"/>
        <v>0</v>
      </c>
      <c r="AB308" s="232">
        <f t="shared" si="71"/>
        <v>0</v>
      </c>
      <c r="AC308" s="232">
        <f t="shared" si="81"/>
        <v>0</v>
      </c>
      <c r="AD308" s="232">
        <f t="shared" si="82"/>
        <v>0</v>
      </c>
      <c r="AE308" s="232">
        <f t="shared" si="83"/>
        <v>0</v>
      </c>
    </row>
    <row r="309" spans="3:31" s="185" customFormat="1" x14ac:dyDescent="0.2">
      <c r="C309" s="128">
        <v>300</v>
      </c>
      <c r="D309" s="186">
        <f t="shared" si="84"/>
        <v>46322</v>
      </c>
      <c r="E309" s="128">
        <f t="shared" si="72"/>
        <v>10</v>
      </c>
      <c r="F309" s="187">
        <f t="shared" si="73"/>
        <v>46322</v>
      </c>
      <c r="G309" s="128">
        <f t="shared" si="74"/>
        <v>44</v>
      </c>
      <c r="H309" s="128">
        <f t="shared" si="75"/>
        <v>27</v>
      </c>
      <c r="I309" s="128">
        <f t="shared" si="76"/>
        <v>2</v>
      </c>
      <c r="J309" s="188">
        <f t="shared" si="77"/>
        <v>46322</v>
      </c>
      <c r="K309" s="128" t="str" cm="1">
        <f t="array" ref="K309">IF(AND(I309&lt;7,INDEX(B_tblFTMatrix,$E309,$H309)="x"),"ft","")</f>
        <v/>
      </c>
      <c r="L309" s="128"/>
      <c r="M309" s="128"/>
      <c r="N309" s="128">
        <f t="shared" si="68"/>
        <v>1</v>
      </c>
      <c r="O309" s="128">
        <f t="shared" si="78"/>
        <v>1</v>
      </c>
      <c r="P309" s="227">
        <f t="shared" si="69"/>
        <v>8</v>
      </c>
      <c r="Q309" s="229" cm="1">
        <f t="array" ref="Q309">SUMPRODUCT((H_tblBGTage=I309)*(H_tblBGMnt=E309)*H_tblBG%)</f>
        <v>1</v>
      </c>
      <c r="R309" s="227">
        <f t="shared" si="79"/>
        <v>8</v>
      </c>
      <c r="S309" s="233"/>
      <c r="T309" s="233"/>
      <c r="U309" s="232" cm="1">
        <f t="array" ref="U309">SUMPRODUCT((OCT!M_Verweiszeile=$H309)*OCT!M_ProdTag*(OCT!M_Monat=$E309))</f>
        <v>0</v>
      </c>
      <c r="V309" s="232" cm="1">
        <f t="array" ref="V309">SUMPRODUCT((OCT!M_Verweiszeile=$H309)*OCT!M_ProdN1*(OCT!M_Monat=$E309))</f>
        <v>0</v>
      </c>
      <c r="W309" s="232" cm="1">
        <f t="array" ref="W309">SUMPRODUCT((OCT!M_Verweiszeile=$H309)*OCT!M_ProdN2*(OCT!M_Monat=$E309))</f>
        <v>0</v>
      </c>
      <c r="X309" s="232" cm="1">
        <f t="array" ref="X309">SUMPRODUCT((OCT!M_Verweiszeile=$H309)*OCT!M_Reise*(OCT!M_Monat=$E309))</f>
        <v>0</v>
      </c>
      <c r="Y309" s="232" cm="1">
        <f t="array" ref="Y309">SUMPRODUCT((OCT!M_Verweiszeile=$H309)*OCT!M_Reiseabzug*(OCT!M_Monat=$E309))</f>
        <v>0</v>
      </c>
      <c r="Z309" s="232">
        <f t="shared" si="80"/>
        <v>0</v>
      </c>
      <c r="AA309" s="232">
        <f t="shared" si="70"/>
        <v>0</v>
      </c>
      <c r="AB309" s="232">
        <f t="shared" si="71"/>
        <v>0</v>
      </c>
      <c r="AC309" s="232">
        <f t="shared" si="81"/>
        <v>0</v>
      </c>
      <c r="AD309" s="232">
        <f t="shared" si="82"/>
        <v>0</v>
      </c>
      <c r="AE309" s="232">
        <f t="shared" si="83"/>
        <v>0</v>
      </c>
    </row>
    <row r="310" spans="3:31" s="185" customFormat="1" x14ac:dyDescent="0.2">
      <c r="C310" s="128">
        <v>301</v>
      </c>
      <c r="D310" s="186">
        <f t="shared" si="84"/>
        <v>46323</v>
      </c>
      <c r="E310" s="128">
        <f t="shared" si="72"/>
        <v>10</v>
      </c>
      <c r="F310" s="187">
        <f t="shared" si="73"/>
        <v>46323</v>
      </c>
      <c r="G310" s="128">
        <f t="shared" si="74"/>
        <v>44</v>
      </c>
      <c r="H310" s="128">
        <f t="shared" si="75"/>
        <v>28</v>
      </c>
      <c r="I310" s="128">
        <f t="shared" si="76"/>
        <v>3</v>
      </c>
      <c r="J310" s="188">
        <f t="shared" si="77"/>
        <v>46323</v>
      </c>
      <c r="K310" s="128" t="str" cm="1">
        <f t="array" ref="K310">IF(AND(I310&lt;7,INDEX(B_tblFTMatrix,$E310,$H310)="x"),"ft","")</f>
        <v/>
      </c>
      <c r="L310" s="128"/>
      <c r="M310" s="128"/>
      <c r="N310" s="128">
        <f t="shared" si="68"/>
        <v>1</v>
      </c>
      <c r="O310" s="128">
        <f t="shared" si="78"/>
        <v>1</v>
      </c>
      <c r="P310" s="227">
        <f t="shared" si="69"/>
        <v>8</v>
      </c>
      <c r="Q310" s="229" cm="1">
        <f t="array" ref="Q310">SUMPRODUCT((H_tblBGTage=I310)*(H_tblBGMnt=E310)*H_tblBG%)</f>
        <v>1</v>
      </c>
      <c r="R310" s="227">
        <f t="shared" si="79"/>
        <v>8</v>
      </c>
      <c r="S310" s="233"/>
      <c r="T310" s="233"/>
      <c r="U310" s="232" cm="1">
        <f t="array" ref="U310">SUMPRODUCT((OCT!M_Verweiszeile=$H310)*OCT!M_ProdTag*(OCT!M_Monat=$E310))</f>
        <v>0</v>
      </c>
      <c r="V310" s="232" cm="1">
        <f t="array" ref="V310">SUMPRODUCT((OCT!M_Verweiszeile=$H310)*OCT!M_ProdN1*(OCT!M_Monat=$E310))</f>
        <v>0</v>
      </c>
      <c r="W310" s="232" cm="1">
        <f t="array" ref="W310">SUMPRODUCT((OCT!M_Verweiszeile=$H310)*OCT!M_ProdN2*(OCT!M_Monat=$E310))</f>
        <v>0</v>
      </c>
      <c r="X310" s="232" cm="1">
        <f t="array" ref="X310">SUMPRODUCT((OCT!M_Verweiszeile=$H310)*OCT!M_Reise*(OCT!M_Monat=$E310))</f>
        <v>0</v>
      </c>
      <c r="Y310" s="232" cm="1">
        <f t="array" ref="Y310">SUMPRODUCT((OCT!M_Verweiszeile=$H310)*OCT!M_Reiseabzug*(OCT!M_Monat=$E310))</f>
        <v>0</v>
      </c>
      <c r="Z310" s="232">
        <f t="shared" si="80"/>
        <v>0</v>
      </c>
      <c r="AA310" s="232">
        <f t="shared" si="70"/>
        <v>0</v>
      </c>
      <c r="AB310" s="232">
        <f t="shared" si="71"/>
        <v>0</v>
      </c>
      <c r="AC310" s="232">
        <f t="shared" si="81"/>
        <v>0</v>
      </c>
      <c r="AD310" s="232">
        <f t="shared" si="82"/>
        <v>0</v>
      </c>
      <c r="AE310" s="232">
        <f t="shared" si="83"/>
        <v>0</v>
      </c>
    </row>
    <row r="311" spans="3:31" s="185" customFormat="1" x14ac:dyDescent="0.2">
      <c r="C311" s="128">
        <v>302</v>
      </c>
      <c r="D311" s="186">
        <f t="shared" si="84"/>
        <v>46324</v>
      </c>
      <c r="E311" s="128">
        <f t="shared" si="72"/>
        <v>10</v>
      </c>
      <c r="F311" s="187">
        <f t="shared" si="73"/>
        <v>46324</v>
      </c>
      <c r="G311" s="128">
        <f t="shared" si="74"/>
        <v>44</v>
      </c>
      <c r="H311" s="128">
        <f t="shared" si="75"/>
        <v>29</v>
      </c>
      <c r="I311" s="128">
        <f t="shared" si="76"/>
        <v>4</v>
      </c>
      <c r="J311" s="188">
        <f t="shared" si="77"/>
        <v>46324</v>
      </c>
      <c r="K311" s="128" t="str" cm="1">
        <f t="array" ref="K311">IF(AND(I311&lt;7,INDEX(B_tblFTMatrix,$E311,$H311)="x"),"ft","")</f>
        <v/>
      </c>
      <c r="L311" s="128"/>
      <c r="M311" s="128"/>
      <c r="N311" s="128">
        <f t="shared" si="68"/>
        <v>1</v>
      </c>
      <c r="O311" s="128">
        <f t="shared" si="78"/>
        <v>1</v>
      </c>
      <c r="P311" s="227">
        <f t="shared" si="69"/>
        <v>8</v>
      </c>
      <c r="Q311" s="229" cm="1">
        <f t="array" ref="Q311">SUMPRODUCT((H_tblBGTage=I311)*(H_tblBGMnt=E311)*H_tblBG%)</f>
        <v>1</v>
      </c>
      <c r="R311" s="227">
        <f t="shared" si="79"/>
        <v>8</v>
      </c>
      <c r="S311" s="233"/>
      <c r="T311" s="233"/>
      <c r="U311" s="232" cm="1">
        <f t="array" ref="U311">SUMPRODUCT((OCT!M_Verweiszeile=$H311)*OCT!M_ProdTag*(OCT!M_Monat=$E311))</f>
        <v>0</v>
      </c>
      <c r="V311" s="232" cm="1">
        <f t="array" ref="V311">SUMPRODUCT((OCT!M_Verweiszeile=$H311)*OCT!M_ProdN1*(OCT!M_Monat=$E311))</f>
        <v>0</v>
      </c>
      <c r="W311" s="232" cm="1">
        <f t="array" ref="W311">SUMPRODUCT((OCT!M_Verweiszeile=$H311)*OCT!M_ProdN2*(OCT!M_Monat=$E311))</f>
        <v>0</v>
      </c>
      <c r="X311" s="232" cm="1">
        <f t="array" ref="X311">SUMPRODUCT((OCT!M_Verweiszeile=$H311)*OCT!M_Reise*(OCT!M_Monat=$E311))</f>
        <v>0</v>
      </c>
      <c r="Y311" s="232" cm="1">
        <f t="array" ref="Y311">SUMPRODUCT((OCT!M_Verweiszeile=$H311)*OCT!M_Reiseabzug*(OCT!M_Monat=$E311))</f>
        <v>0</v>
      </c>
      <c r="Z311" s="232">
        <f t="shared" si="80"/>
        <v>0</v>
      </c>
      <c r="AA311" s="232">
        <f t="shared" si="70"/>
        <v>0</v>
      </c>
      <c r="AB311" s="232">
        <f t="shared" si="71"/>
        <v>0</v>
      </c>
      <c r="AC311" s="232">
        <f t="shared" si="81"/>
        <v>0</v>
      </c>
      <c r="AD311" s="232">
        <f t="shared" si="82"/>
        <v>0</v>
      </c>
      <c r="AE311" s="232">
        <f t="shared" si="83"/>
        <v>0</v>
      </c>
    </row>
    <row r="312" spans="3:31" s="185" customFormat="1" x14ac:dyDescent="0.2">
      <c r="C312" s="128">
        <v>303</v>
      </c>
      <c r="D312" s="186">
        <f t="shared" si="84"/>
        <v>46325</v>
      </c>
      <c r="E312" s="128">
        <f t="shared" si="72"/>
        <v>10</v>
      </c>
      <c r="F312" s="187">
        <f t="shared" si="73"/>
        <v>46325</v>
      </c>
      <c r="G312" s="128">
        <f t="shared" si="74"/>
        <v>44</v>
      </c>
      <c r="H312" s="128">
        <f t="shared" si="75"/>
        <v>30</v>
      </c>
      <c r="I312" s="128">
        <f t="shared" si="76"/>
        <v>5</v>
      </c>
      <c r="J312" s="188">
        <f t="shared" si="77"/>
        <v>46325</v>
      </c>
      <c r="K312" s="128" t="str" cm="1">
        <f t="array" ref="K312">IF(AND(I312&lt;7,INDEX(B_tblFTMatrix,$E312,$H312)="x"),"ft","")</f>
        <v/>
      </c>
      <c r="L312" s="128"/>
      <c r="M312" s="128"/>
      <c r="N312" s="128">
        <f t="shared" si="68"/>
        <v>1</v>
      </c>
      <c r="O312" s="128">
        <f t="shared" si="78"/>
        <v>1</v>
      </c>
      <c r="P312" s="227">
        <f t="shared" si="69"/>
        <v>8</v>
      </c>
      <c r="Q312" s="229" cm="1">
        <f t="array" ref="Q312">SUMPRODUCT((H_tblBGTage=I312)*(H_tblBGMnt=E312)*H_tblBG%)</f>
        <v>1</v>
      </c>
      <c r="R312" s="227">
        <f t="shared" si="79"/>
        <v>8</v>
      </c>
      <c r="S312" s="233"/>
      <c r="T312" s="233"/>
      <c r="U312" s="232" cm="1">
        <f t="array" ref="U312">SUMPRODUCT((OCT!M_Verweiszeile=$H312)*OCT!M_ProdTag*(OCT!M_Monat=$E312))</f>
        <v>0</v>
      </c>
      <c r="V312" s="232" cm="1">
        <f t="array" ref="V312">SUMPRODUCT((OCT!M_Verweiszeile=$H312)*OCT!M_ProdN1*(OCT!M_Monat=$E312))</f>
        <v>0</v>
      </c>
      <c r="W312" s="232" cm="1">
        <f t="array" ref="W312">SUMPRODUCT((OCT!M_Verweiszeile=$H312)*OCT!M_ProdN2*(OCT!M_Monat=$E312))</f>
        <v>0</v>
      </c>
      <c r="X312" s="232" cm="1">
        <f t="array" ref="X312">SUMPRODUCT((OCT!M_Verweiszeile=$H312)*OCT!M_Reise*(OCT!M_Monat=$E312))</f>
        <v>0</v>
      </c>
      <c r="Y312" s="232" cm="1">
        <f t="array" ref="Y312">SUMPRODUCT((OCT!M_Verweiszeile=$H312)*OCT!M_Reiseabzug*(OCT!M_Monat=$E312))</f>
        <v>0</v>
      </c>
      <c r="Z312" s="232">
        <f t="shared" si="80"/>
        <v>0</v>
      </c>
      <c r="AA312" s="232">
        <f t="shared" si="70"/>
        <v>0</v>
      </c>
      <c r="AB312" s="232">
        <f t="shared" si="71"/>
        <v>0</v>
      </c>
      <c r="AC312" s="232">
        <f t="shared" si="81"/>
        <v>0</v>
      </c>
      <c r="AD312" s="232">
        <f t="shared" si="82"/>
        <v>0</v>
      </c>
      <c r="AE312" s="232">
        <f t="shared" si="83"/>
        <v>0</v>
      </c>
    </row>
    <row r="313" spans="3:31" s="185" customFormat="1" x14ac:dyDescent="0.2">
      <c r="C313" s="128">
        <v>304</v>
      </c>
      <c r="D313" s="186">
        <f t="shared" si="84"/>
        <v>46326</v>
      </c>
      <c r="E313" s="128">
        <f t="shared" si="72"/>
        <v>10</v>
      </c>
      <c r="F313" s="187">
        <f t="shared" si="73"/>
        <v>46326</v>
      </c>
      <c r="G313" s="128">
        <f t="shared" si="74"/>
        <v>44</v>
      </c>
      <c r="H313" s="128">
        <f t="shared" si="75"/>
        <v>31</v>
      </c>
      <c r="I313" s="128">
        <f t="shared" si="76"/>
        <v>6</v>
      </c>
      <c r="J313" s="188">
        <f t="shared" si="77"/>
        <v>46326</v>
      </c>
      <c r="K313" s="128" t="str" cm="1">
        <f t="array" ref="K313">IF(AND(I313&lt;7,INDEX(B_tblFTMatrix,$E313,$H313)="x"),"ft","")</f>
        <v/>
      </c>
      <c r="L313" s="128"/>
      <c r="M313" s="128"/>
      <c r="N313" s="128">
        <f t="shared" si="68"/>
        <v>0</v>
      </c>
      <c r="O313" s="128">
        <f t="shared" si="78"/>
        <v>0</v>
      </c>
      <c r="P313" s="227">
        <f t="shared" si="69"/>
        <v>0</v>
      </c>
      <c r="Q313" s="229" cm="1">
        <f t="array" ref="Q313">SUMPRODUCT((H_tblBGTage=I313)*(H_tblBGMnt=E313)*H_tblBG%)</f>
        <v>0</v>
      </c>
      <c r="R313" s="227">
        <f t="shared" si="79"/>
        <v>0</v>
      </c>
      <c r="S313" s="233"/>
      <c r="T313" s="233"/>
      <c r="U313" s="232" cm="1">
        <f t="array" ref="U313">SUMPRODUCT((OCT!M_Verweiszeile=$H313)*OCT!M_ProdTag*(OCT!M_Monat=$E313))</f>
        <v>0</v>
      </c>
      <c r="V313" s="232" cm="1">
        <f t="array" ref="V313">SUMPRODUCT((OCT!M_Verweiszeile=$H313)*OCT!M_ProdN1*(OCT!M_Monat=$E313))</f>
        <v>0</v>
      </c>
      <c r="W313" s="232" cm="1">
        <f t="array" ref="W313">SUMPRODUCT((OCT!M_Verweiszeile=$H313)*OCT!M_ProdN2*(OCT!M_Monat=$E313))</f>
        <v>0</v>
      </c>
      <c r="X313" s="232" cm="1">
        <f t="array" ref="X313">SUMPRODUCT((OCT!M_Verweiszeile=$H313)*OCT!M_Reise*(OCT!M_Monat=$E313))</f>
        <v>0</v>
      </c>
      <c r="Y313" s="232" cm="1">
        <f t="array" ref="Y313">SUMPRODUCT((OCT!M_Verweiszeile=$H313)*OCT!M_Reiseabzug*(OCT!M_Monat=$E313))</f>
        <v>0</v>
      </c>
      <c r="Z313" s="232">
        <f t="shared" si="80"/>
        <v>0</v>
      </c>
      <c r="AA313" s="232">
        <f t="shared" si="70"/>
        <v>0</v>
      </c>
      <c r="AB313" s="232">
        <f t="shared" si="71"/>
        <v>0</v>
      </c>
      <c r="AC313" s="232">
        <f t="shared" si="81"/>
        <v>0</v>
      </c>
      <c r="AD313" s="232">
        <f t="shared" si="82"/>
        <v>0</v>
      </c>
      <c r="AE313" s="232">
        <f t="shared" si="83"/>
        <v>0</v>
      </c>
    </row>
    <row r="314" spans="3:31" s="185" customFormat="1" x14ac:dyDescent="0.2">
      <c r="C314" s="128">
        <v>305</v>
      </c>
      <c r="D314" s="186">
        <f t="shared" si="84"/>
        <v>46327</v>
      </c>
      <c r="E314" s="128">
        <f t="shared" si="72"/>
        <v>11</v>
      </c>
      <c r="F314" s="187">
        <f t="shared" si="73"/>
        <v>46327</v>
      </c>
      <c r="G314" s="128">
        <f t="shared" si="74"/>
        <v>44</v>
      </c>
      <c r="H314" s="128">
        <f t="shared" si="75"/>
        <v>1</v>
      </c>
      <c r="I314" s="128">
        <f t="shared" si="76"/>
        <v>7</v>
      </c>
      <c r="J314" s="188">
        <f t="shared" si="77"/>
        <v>46327</v>
      </c>
      <c r="K314" s="128" t="str" cm="1">
        <f t="array" ref="K314">IF(AND(I314&lt;7,INDEX(B_tblFTMatrix,$E314,$H314)="x"),"ft","")</f>
        <v/>
      </c>
      <c r="L314" s="128"/>
      <c r="M314" s="128"/>
      <c r="N314" s="128">
        <f t="shared" si="68"/>
        <v>0</v>
      </c>
      <c r="O314" s="128">
        <f t="shared" si="78"/>
        <v>0</v>
      </c>
      <c r="P314" s="227">
        <f t="shared" si="69"/>
        <v>0</v>
      </c>
      <c r="Q314" s="229" cm="1">
        <f t="array" ref="Q314">SUMPRODUCT((H_tblBGTage=I314)*(H_tblBGMnt=E314)*H_tblBG%)</f>
        <v>0</v>
      </c>
      <c r="R314" s="227">
        <f t="shared" si="79"/>
        <v>0</v>
      </c>
      <c r="S314" s="233"/>
      <c r="T314" s="233"/>
      <c r="U314" s="311" cm="1">
        <f t="array" ref="U314">SUMPRODUCT((OCT!M_Verweiszeile=$H314)*OCT!M_ProdTag*(OCT!M_Monat=$E314))+SUMPRODUCT((NOV!M_Verweiszeile=$H314)*NOV!M_ProdTag*(NOV!M_Monat=$E314))</f>
        <v>0</v>
      </c>
      <c r="V314" s="232" cm="1">
        <f t="array" ref="V314">SUMPRODUCT((OCT!M_Verweiszeile=$H314)*OCT!M_ProdN1*(OCT!M_Monat=$E314))+SUMPRODUCT((NOV!M_Verweiszeile=$H314)*NOV!M_ProdN1*(NOV!M_Monat=$E314))</f>
        <v>0</v>
      </c>
      <c r="W314" s="232" cm="1">
        <f t="array" ref="W314">SUMPRODUCT((OCT!M_Verweiszeile=$H314)*OCT!M_ProdN2*(OCT!M_Monat=$E314))+SUMPRODUCT((NOV!M_Verweiszeile=$H314)*NOV!M_ProdN2*(NOV!M_Monat=$E314))</f>
        <v>0</v>
      </c>
      <c r="X314" s="232" cm="1">
        <f t="array" ref="X314">SUMPRODUCT((OCT!M_Verweiszeile=$H314)*OCT!M_Reise*(OCT!M_Monat=$E314))+SUMPRODUCT((NOV!M_Verweiszeile=$H314)*NOV!M_Reise*(NOV!M_Monat=$E314))</f>
        <v>0</v>
      </c>
      <c r="Y314" s="232" cm="1">
        <f t="array" ref="Y314">SUMPRODUCT((OCT!M_Verweiszeile=$H314)*OCT!M_Reiseabzug*(OCT!M_Monat=$E314))+SUMPRODUCT((NOV!M_Verweiszeile=$H314)*NOV!M_Reiseabzug*(NOV!M_Monat=$E314))</f>
        <v>0</v>
      </c>
      <c r="Z314" s="232">
        <f t="shared" si="80"/>
        <v>0</v>
      </c>
      <c r="AA314" s="232">
        <f t="shared" si="70"/>
        <v>0</v>
      </c>
      <c r="AB314" s="232">
        <f t="shared" si="71"/>
        <v>0</v>
      </c>
      <c r="AC314" s="232">
        <f t="shared" si="81"/>
        <v>0</v>
      </c>
      <c r="AD314" s="232">
        <f t="shared" si="82"/>
        <v>0</v>
      </c>
      <c r="AE314" s="232">
        <f t="shared" si="83"/>
        <v>0</v>
      </c>
    </row>
    <row r="315" spans="3:31" s="185" customFormat="1" x14ac:dyDescent="0.2">
      <c r="C315" s="128">
        <v>306</v>
      </c>
      <c r="D315" s="186">
        <f t="shared" si="84"/>
        <v>46328</v>
      </c>
      <c r="E315" s="128">
        <f t="shared" si="72"/>
        <v>11</v>
      </c>
      <c r="F315" s="187">
        <f t="shared" si="73"/>
        <v>46328</v>
      </c>
      <c r="G315" s="128">
        <f t="shared" si="74"/>
        <v>45</v>
      </c>
      <c r="H315" s="128">
        <f t="shared" si="75"/>
        <v>2</v>
      </c>
      <c r="I315" s="128">
        <f t="shared" si="76"/>
        <v>1</v>
      </c>
      <c r="J315" s="188">
        <f t="shared" si="77"/>
        <v>46328</v>
      </c>
      <c r="K315" s="128" t="str" cm="1">
        <f t="array" ref="K315">IF(AND(I315&lt;7,INDEX(B_tblFTMatrix,$E315,$H315)="x"),"ft","")</f>
        <v/>
      </c>
      <c r="L315" s="128"/>
      <c r="M315" s="128"/>
      <c r="N315" s="128">
        <f t="shared" si="68"/>
        <v>1</v>
      </c>
      <c r="O315" s="128">
        <f t="shared" si="78"/>
        <v>1</v>
      </c>
      <c r="P315" s="227">
        <f t="shared" si="69"/>
        <v>8</v>
      </c>
      <c r="Q315" s="229" cm="1">
        <f t="array" ref="Q315">SUMPRODUCT((H_tblBGTage=I315)*(H_tblBGMnt=E315)*H_tblBG%)</f>
        <v>1</v>
      </c>
      <c r="R315" s="227">
        <f t="shared" si="79"/>
        <v>8</v>
      </c>
      <c r="S315" s="233"/>
      <c r="T315" s="233"/>
      <c r="U315" s="311" cm="1">
        <f t="array" ref="U315">SUMPRODUCT((NOV!M_Verweiszeile=$H315)*NOV!M_ProdTag*(NOV!M_Monat=$E315))</f>
        <v>0</v>
      </c>
      <c r="V315" s="232" cm="1">
        <f t="array" ref="V315">SUMPRODUCT((NOV!M_Verweiszeile=$H315)*NOV!M_ProdN1*(NOV!M_Monat=$E315))</f>
        <v>0</v>
      </c>
      <c r="W315" s="232" cm="1">
        <f t="array" ref="W315">SUMPRODUCT((NOV!M_Verweiszeile=$H315)*NOV!M_ProdN2*(NOV!M_Monat=$E315))</f>
        <v>0</v>
      </c>
      <c r="X315" s="232" cm="1">
        <f t="array" ref="X315">SUMPRODUCT((NOV!M_Verweiszeile=$H315)*NOV!M_Reise*(NOV!M_Monat=$E315))</f>
        <v>0</v>
      </c>
      <c r="Y315" s="232" cm="1">
        <f t="array" ref="Y315">SUMPRODUCT((NOV!M_Verweiszeile=$H315)*NOV!M_Reiseabzug*(NOV!M_Monat=$E315))</f>
        <v>0</v>
      </c>
      <c r="Z315" s="232">
        <f t="shared" si="80"/>
        <v>0</v>
      </c>
      <c r="AA315" s="232">
        <f t="shared" si="70"/>
        <v>0</v>
      </c>
      <c r="AB315" s="232">
        <f t="shared" si="71"/>
        <v>0</v>
      </c>
      <c r="AC315" s="232">
        <f t="shared" si="81"/>
        <v>0</v>
      </c>
      <c r="AD315" s="232">
        <f t="shared" si="82"/>
        <v>0</v>
      </c>
      <c r="AE315" s="232">
        <f t="shared" si="83"/>
        <v>0</v>
      </c>
    </row>
    <row r="316" spans="3:31" s="185" customFormat="1" x14ac:dyDescent="0.2">
      <c r="C316" s="128">
        <v>307</v>
      </c>
      <c r="D316" s="186">
        <f t="shared" si="84"/>
        <v>46329</v>
      </c>
      <c r="E316" s="128">
        <f t="shared" si="72"/>
        <v>11</v>
      </c>
      <c r="F316" s="187">
        <f t="shared" si="73"/>
        <v>46329</v>
      </c>
      <c r="G316" s="128">
        <f t="shared" si="74"/>
        <v>45</v>
      </c>
      <c r="H316" s="128">
        <f t="shared" si="75"/>
        <v>3</v>
      </c>
      <c r="I316" s="128">
        <f t="shared" si="76"/>
        <v>2</v>
      </c>
      <c r="J316" s="188">
        <f t="shared" si="77"/>
        <v>46329</v>
      </c>
      <c r="K316" s="128" t="str" cm="1">
        <f t="array" ref="K316">IF(AND(I316&lt;7,INDEX(B_tblFTMatrix,$E316,$H316)="x"),"ft","")</f>
        <v/>
      </c>
      <c r="L316" s="128"/>
      <c r="M316" s="128"/>
      <c r="N316" s="128">
        <f t="shared" si="68"/>
        <v>1</v>
      </c>
      <c r="O316" s="128">
        <f t="shared" si="78"/>
        <v>1</v>
      </c>
      <c r="P316" s="227">
        <f t="shared" si="69"/>
        <v>8</v>
      </c>
      <c r="Q316" s="229" cm="1">
        <f t="array" ref="Q316">SUMPRODUCT((H_tblBGTage=I316)*(H_tblBGMnt=E316)*H_tblBG%)</f>
        <v>1</v>
      </c>
      <c r="R316" s="227">
        <f t="shared" si="79"/>
        <v>8</v>
      </c>
      <c r="S316" s="233"/>
      <c r="T316" s="233"/>
      <c r="U316" s="232" cm="1">
        <f t="array" ref="U316">SUMPRODUCT((NOV!M_Verweiszeile=$H316)*NOV!M_ProdTag*(NOV!M_Monat=$E316))</f>
        <v>0</v>
      </c>
      <c r="V316" s="232" cm="1">
        <f t="array" ref="V316">SUMPRODUCT((NOV!M_Verweiszeile=$H316)*NOV!M_ProdN1*(NOV!M_Monat=$E316))</f>
        <v>0</v>
      </c>
      <c r="W316" s="232" cm="1">
        <f t="array" ref="W316">SUMPRODUCT((NOV!M_Verweiszeile=$H316)*NOV!M_ProdN2*(NOV!M_Monat=$E316))</f>
        <v>0</v>
      </c>
      <c r="X316" s="232" cm="1">
        <f t="array" ref="X316">SUMPRODUCT((NOV!M_Verweiszeile=$H316)*NOV!M_Reise*(NOV!M_Monat=$E316))</f>
        <v>0</v>
      </c>
      <c r="Y316" s="232" cm="1">
        <f t="array" ref="Y316">SUMPRODUCT((NOV!M_Verweiszeile=$H316)*NOV!M_Reiseabzug*(NOV!M_Monat=$E316))</f>
        <v>0</v>
      </c>
      <c r="Z316" s="232">
        <f t="shared" si="80"/>
        <v>0</v>
      </c>
      <c r="AA316" s="232">
        <f t="shared" si="70"/>
        <v>0</v>
      </c>
      <c r="AB316" s="232">
        <f t="shared" si="71"/>
        <v>0</v>
      </c>
      <c r="AC316" s="232">
        <f t="shared" si="81"/>
        <v>0</v>
      </c>
      <c r="AD316" s="232">
        <f t="shared" si="82"/>
        <v>0</v>
      </c>
      <c r="AE316" s="232">
        <f t="shared" si="83"/>
        <v>0</v>
      </c>
    </row>
    <row r="317" spans="3:31" s="185" customFormat="1" x14ac:dyDescent="0.2">
      <c r="C317" s="128">
        <v>308</v>
      </c>
      <c r="D317" s="186">
        <f t="shared" si="84"/>
        <v>46330</v>
      </c>
      <c r="E317" s="128">
        <f t="shared" si="72"/>
        <v>11</v>
      </c>
      <c r="F317" s="187">
        <f t="shared" si="73"/>
        <v>46330</v>
      </c>
      <c r="G317" s="128">
        <f t="shared" si="74"/>
        <v>45</v>
      </c>
      <c r="H317" s="128">
        <f t="shared" si="75"/>
        <v>4</v>
      </c>
      <c r="I317" s="128">
        <f t="shared" si="76"/>
        <v>3</v>
      </c>
      <c r="J317" s="188">
        <f t="shared" si="77"/>
        <v>46330</v>
      </c>
      <c r="K317" s="128" t="str" cm="1">
        <f t="array" ref="K317">IF(AND(I317&lt;7,INDEX(B_tblFTMatrix,$E317,$H317)="x"),"ft","")</f>
        <v/>
      </c>
      <c r="L317" s="128"/>
      <c r="M317" s="128"/>
      <c r="N317" s="128">
        <f t="shared" si="68"/>
        <v>1</v>
      </c>
      <c r="O317" s="128">
        <f t="shared" si="78"/>
        <v>1</v>
      </c>
      <c r="P317" s="227">
        <f t="shared" si="69"/>
        <v>8</v>
      </c>
      <c r="Q317" s="229" cm="1">
        <f t="array" ref="Q317">SUMPRODUCT((H_tblBGTage=I317)*(H_tblBGMnt=E317)*H_tblBG%)</f>
        <v>1</v>
      </c>
      <c r="R317" s="227">
        <f t="shared" si="79"/>
        <v>8</v>
      </c>
      <c r="S317" s="233"/>
      <c r="T317" s="233"/>
      <c r="U317" s="232" cm="1">
        <f t="array" ref="U317">SUMPRODUCT((NOV!M_Verweiszeile=$H317)*NOV!M_ProdTag*(NOV!M_Monat=$E317))</f>
        <v>0</v>
      </c>
      <c r="V317" s="232" cm="1">
        <f t="array" ref="V317">SUMPRODUCT((NOV!M_Verweiszeile=$H317)*NOV!M_ProdN1*(NOV!M_Monat=$E317))</f>
        <v>0</v>
      </c>
      <c r="W317" s="232" cm="1">
        <f t="array" ref="W317">SUMPRODUCT((NOV!M_Verweiszeile=$H317)*NOV!M_ProdN2*(NOV!M_Monat=$E317))</f>
        <v>0</v>
      </c>
      <c r="X317" s="232" cm="1">
        <f t="array" ref="X317">SUMPRODUCT((NOV!M_Verweiszeile=$H317)*NOV!M_Reise*(NOV!M_Monat=$E317))</f>
        <v>0</v>
      </c>
      <c r="Y317" s="232" cm="1">
        <f t="array" ref="Y317">SUMPRODUCT((NOV!M_Verweiszeile=$H317)*NOV!M_Reiseabzug*(NOV!M_Monat=$E317))</f>
        <v>0</v>
      </c>
      <c r="Z317" s="232">
        <f t="shared" si="80"/>
        <v>0</v>
      </c>
      <c r="AA317" s="232">
        <f t="shared" si="70"/>
        <v>0</v>
      </c>
      <c r="AB317" s="232">
        <f t="shared" si="71"/>
        <v>0</v>
      </c>
      <c r="AC317" s="232">
        <f t="shared" si="81"/>
        <v>0</v>
      </c>
      <c r="AD317" s="232">
        <f t="shared" si="82"/>
        <v>0</v>
      </c>
      <c r="AE317" s="232">
        <f t="shared" si="83"/>
        <v>0</v>
      </c>
    </row>
    <row r="318" spans="3:31" s="185" customFormat="1" x14ac:dyDescent="0.2">
      <c r="C318" s="128">
        <v>309</v>
      </c>
      <c r="D318" s="186">
        <f t="shared" si="84"/>
        <v>46331</v>
      </c>
      <c r="E318" s="128">
        <f t="shared" si="72"/>
        <v>11</v>
      </c>
      <c r="F318" s="187">
        <f t="shared" si="73"/>
        <v>46331</v>
      </c>
      <c r="G318" s="128">
        <f t="shared" si="74"/>
        <v>45</v>
      </c>
      <c r="H318" s="128">
        <f t="shared" si="75"/>
        <v>5</v>
      </c>
      <c r="I318" s="128">
        <f t="shared" si="76"/>
        <v>4</v>
      </c>
      <c r="J318" s="188">
        <f t="shared" si="77"/>
        <v>46331</v>
      </c>
      <c r="K318" s="128" t="str" cm="1">
        <f t="array" ref="K318">IF(AND(I318&lt;7,INDEX(B_tblFTMatrix,$E318,$H318)="x"),"ft","")</f>
        <v/>
      </c>
      <c r="L318" s="128"/>
      <c r="M318" s="128"/>
      <c r="N318" s="128">
        <f t="shared" si="68"/>
        <v>1</v>
      </c>
      <c r="O318" s="128">
        <f t="shared" si="78"/>
        <v>1</v>
      </c>
      <c r="P318" s="227">
        <f t="shared" si="69"/>
        <v>8</v>
      </c>
      <c r="Q318" s="229" cm="1">
        <f t="array" ref="Q318">SUMPRODUCT((H_tblBGTage=I318)*(H_tblBGMnt=E318)*H_tblBG%)</f>
        <v>1</v>
      </c>
      <c r="R318" s="227">
        <f t="shared" si="79"/>
        <v>8</v>
      </c>
      <c r="S318" s="233"/>
      <c r="T318" s="233"/>
      <c r="U318" s="232" cm="1">
        <f t="array" ref="U318">SUMPRODUCT((NOV!M_Verweiszeile=$H318)*NOV!M_ProdTag*(NOV!M_Monat=$E318))</f>
        <v>0</v>
      </c>
      <c r="V318" s="232" cm="1">
        <f t="array" ref="V318">SUMPRODUCT((NOV!M_Verweiszeile=$H318)*NOV!M_ProdN1*(NOV!M_Monat=$E318))</f>
        <v>0</v>
      </c>
      <c r="W318" s="232" cm="1">
        <f t="array" ref="W318">SUMPRODUCT((NOV!M_Verweiszeile=$H318)*NOV!M_ProdN2*(NOV!M_Monat=$E318))</f>
        <v>0</v>
      </c>
      <c r="X318" s="232" cm="1">
        <f t="array" ref="X318">SUMPRODUCT((NOV!M_Verweiszeile=$H318)*NOV!M_Reise*(NOV!M_Monat=$E318))</f>
        <v>0</v>
      </c>
      <c r="Y318" s="232" cm="1">
        <f t="array" ref="Y318">SUMPRODUCT((NOV!M_Verweiszeile=$H318)*NOV!M_Reiseabzug*(NOV!M_Monat=$E318))</f>
        <v>0</v>
      </c>
      <c r="Z318" s="232">
        <f t="shared" si="80"/>
        <v>0</v>
      </c>
      <c r="AA318" s="232">
        <f t="shared" si="70"/>
        <v>0</v>
      </c>
      <c r="AB318" s="232">
        <f t="shared" si="71"/>
        <v>0</v>
      </c>
      <c r="AC318" s="232">
        <f t="shared" si="81"/>
        <v>0</v>
      </c>
      <c r="AD318" s="232">
        <f t="shared" si="82"/>
        <v>0</v>
      </c>
      <c r="AE318" s="232">
        <f t="shared" si="83"/>
        <v>0</v>
      </c>
    </row>
    <row r="319" spans="3:31" s="185" customFormat="1" x14ac:dyDescent="0.2">
      <c r="C319" s="128">
        <v>310</v>
      </c>
      <c r="D319" s="186">
        <f t="shared" si="84"/>
        <v>46332</v>
      </c>
      <c r="E319" s="128">
        <f t="shared" si="72"/>
        <v>11</v>
      </c>
      <c r="F319" s="187">
        <f t="shared" si="73"/>
        <v>46332</v>
      </c>
      <c r="G319" s="128">
        <f t="shared" si="74"/>
        <v>45</v>
      </c>
      <c r="H319" s="128">
        <f t="shared" si="75"/>
        <v>6</v>
      </c>
      <c r="I319" s="128">
        <f t="shared" si="76"/>
        <v>5</v>
      </c>
      <c r="J319" s="188">
        <f t="shared" si="77"/>
        <v>46332</v>
      </c>
      <c r="K319" s="128" t="str" cm="1">
        <f t="array" ref="K319">IF(AND(I319&lt;7,INDEX(B_tblFTMatrix,$E319,$H319)="x"),"ft","")</f>
        <v/>
      </c>
      <c r="L319" s="128"/>
      <c r="M319" s="128"/>
      <c r="N319" s="128">
        <f t="shared" si="68"/>
        <v>1</v>
      </c>
      <c r="O319" s="128">
        <f t="shared" si="78"/>
        <v>1</v>
      </c>
      <c r="P319" s="227">
        <f t="shared" si="69"/>
        <v>8</v>
      </c>
      <c r="Q319" s="229" cm="1">
        <f t="array" ref="Q319">SUMPRODUCT((H_tblBGTage=I319)*(H_tblBGMnt=E319)*H_tblBG%)</f>
        <v>1</v>
      </c>
      <c r="R319" s="227">
        <f t="shared" si="79"/>
        <v>8</v>
      </c>
      <c r="S319" s="233"/>
      <c r="T319" s="233"/>
      <c r="U319" s="232" cm="1">
        <f t="array" ref="U319">SUMPRODUCT((NOV!M_Verweiszeile=$H319)*NOV!M_ProdTag*(NOV!M_Monat=$E319))</f>
        <v>0</v>
      </c>
      <c r="V319" s="232" cm="1">
        <f t="array" ref="V319">SUMPRODUCT((NOV!M_Verweiszeile=$H319)*NOV!M_ProdN1*(NOV!M_Monat=$E319))</f>
        <v>0</v>
      </c>
      <c r="W319" s="232" cm="1">
        <f t="array" ref="W319">SUMPRODUCT((NOV!M_Verweiszeile=$H319)*NOV!M_ProdN2*(NOV!M_Monat=$E319))</f>
        <v>0</v>
      </c>
      <c r="X319" s="232" cm="1">
        <f t="array" ref="X319">SUMPRODUCT((NOV!M_Verweiszeile=$H319)*NOV!M_Reise*(NOV!M_Monat=$E319))</f>
        <v>0</v>
      </c>
      <c r="Y319" s="232" cm="1">
        <f t="array" ref="Y319">SUMPRODUCT((NOV!M_Verweiszeile=$H319)*NOV!M_Reiseabzug*(NOV!M_Monat=$E319))</f>
        <v>0</v>
      </c>
      <c r="Z319" s="232">
        <f t="shared" si="80"/>
        <v>0</v>
      </c>
      <c r="AA319" s="232">
        <f t="shared" si="70"/>
        <v>0</v>
      </c>
      <c r="AB319" s="232">
        <f t="shared" si="71"/>
        <v>0</v>
      </c>
      <c r="AC319" s="232">
        <f t="shared" si="81"/>
        <v>0</v>
      </c>
      <c r="AD319" s="232">
        <f t="shared" si="82"/>
        <v>0</v>
      </c>
      <c r="AE319" s="232">
        <f t="shared" si="83"/>
        <v>0</v>
      </c>
    </row>
    <row r="320" spans="3:31" s="185" customFormat="1" x14ac:dyDescent="0.2">
      <c r="C320" s="128">
        <v>311</v>
      </c>
      <c r="D320" s="186">
        <f t="shared" si="84"/>
        <v>46333</v>
      </c>
      <c r="E320" s="128">
        <f t="shared" si="72"/>
        <v>11</v>
      </c>
      <c r="F320" s="187">
        <f t="shared" si="73"/>
        <v>46333</v>
      </c>
      <c r="G320" s="128">
        <f t="shared" si="74"/>
        <v>45</v>
      </c>
      <c r="H320" s="128">
        <f t="shared" si="75"/>
        <v>7</v>
      </c>
      <c r="I320" s="128">
        <f t="shared" si="76"/>
        <v>6</v>
      </c>
      <c r="J320" s="188">
        <f t="shared" si="77"/>
        <v>46333</v>
      </c>
      <c r="K320" s="128" t="str" cm="1">
        <f t="array" ref="K320">IF(AND(I320&lt;7,INDEX(B_tblFTMatrix,$E320,$H320)="x"),"ft","")</f>
        <v/>
      </c>
      <c r="L320" s="128"/>
      <c r="M320" s="128"/>
      <c r="N320" s="128">
        <f t="shared" si="68"/>
        <v>0</v>
      </c>
      <c r="O320" s="128">
        <f t="shared" si="78"/>
        <v>0</v>
      </c>
      <c r="P320" s="227">
        <f t="shared" si="69"/>
        <v>0</v>
      </c>
      <c r="Q320" s="229" cm="1">
        <f t="array" ref="Q320">SUMPRODUCT((H_tblBGTage=I320)*(H_tblBGMnt=E320)*H_tblBG%)</f>
        <v>0</v>
      </c>
      <c r="R320" s="227">
        <f t="shared" si="79"/>
        <v>0</v>
      </c>
      <c r="S320" s="233"/>
      <c r="T320" s="233"/>
      <c r="U320" s="232" cm="1">
        <f t="array" ref="U320">SUMPRODUCT((NOV!M_Verweiszeile=$H320)*NOV!M_ProdTag*(NOV!M_Monat=$E320))</f>
        <v>0</v>
      </c>
      <c r="V320" s="232" cm="1">
        <f t="array" ref="V320">SUMPRODUCT((NOV!M_Verweiszeile=$H320)*NOV!M_ProdN1*(NOV!M_Monat=$E320))</f>
        <v>0</v>
      </c>
      <c r="W320" s="232" cm="1">
        <f t="array" ref="W320">SUMPRODUCT((NOV!M_Verweiszeile=$H320)*NOV!M_ProdN2*(NOV!M_Monat=$E320))</f>
        <v>0</v>
      </c>
      <c r="X320" s="232" cm="1">
        <f t="array" ref="X320">SUMPRODUCT((NOV!M_Verweiszeile=$H320)*NOV!M_Reise*(NOV!M_Monat=$E320))</f>
        <v>0</v>
      </c>
      <c r="Y320" s="232" cm="1">
        <f t="array" ref="Y320">SUMPRODUCT((NOV!M_Verweiszeile=$H320)*NOV!M_Reiseabzug*(NOV!M_Monat=$E320))</f>
        <v>0</v>
      </c>
      <c r="Z320" s="232">
        <f t="shared" si="80"/>
        <v>0</v>
      </c>
      <c r="AA320" s="232">
        <f t="shared" si="70"/>
        <v>0</v>
      </c>
      <c r="AB320" s="232">
        <f t="shared" si="71"/>
        <v>0</v>
      </c>
      <c r="AC320" s="232">
        <f t="shared" si="81"/>
        <v>0</v>
      </c>
      <c r="AD320" s="232">
        <f t="shared" si="82"/>
        <v>0</v>
      </c>
      <c r="AE320" s="232">
        <f t="shared" si="83"/>
        <v>0</v>
      </c>
    </row>
    <row r="321" spans="3:31" s="185" customFormat="1" x14ac:dyDescent="0.2">
      <c r="C321" s="128">
        <v>312</v>
      </c>
      <c r="D321" s="186">
        <f t="shared" si="84"/>
        <v>46334</v>
      </c>
      <c r="E321" s="128">
        <f t="shared" si="72"/>
        <v>11</v>
      </c>
      <c r="F321" s="187">
        <f t="shared" si="73"/>
        <v>46334</v>
      </c>
      <c r="G321" s="128">
        <f t="shared" si="74"/>
        <v>45</v>
      </c>
      <c r="H321" s="128">
        <f t="shared" si="75"/>
        <v>8</v>
      </c>
      <c r="I321" s="128">
        <f t="shared" si="76"/>
        <v>7</v>
      </c>
      <c r="J321" s="188">
        <f t="shared" si="77"/>
        <v>46334</v>
      </c>
      <c r="K321" s="128" t="str" cm="1">
        <f t="array" ref="K321">IF(AND(I321&lt;7,INDEX(B_tblFTMatrix,$E321,$H321)="x"),"ft","")</f>
        <v/>
      </c>
      <c r="L321" s="128"/>
      <c r="M321" s="128"/>
      <c r="N321" s="128">
        <f t="shared" si="68"/>
        <v>0</v>
      </c>
      <c r="O321" s="128">
        <f t="shared" si="78"/>
        <v>0</v>
      </c>
      <c r="P321" s="227">
        <f t="shared" si="69"/>
        <v>0</v>
      </c>
      <c r="Q321" s="229" cm="1">
        <f t="array" ref="Q321">SUMPRODUCT((H_tblBGTage=I321)*(H_tblBGMnt=E321)*H_tblBG%)</f>
        <v>0</v>
      </c>
      <c r="R321" s="227">
        <f t="shared" si="79"/>
        <v>0</v>
      </c>
      <c r="S321" s="233"/>
      <c r="T321" s="233"/>
      <c r="U321" s="232" cm="1">
        <f t="array" ref="U321">SUMPRODUCT((NOV!M_Verweiszeile=$H321)*NOV!M_ProdTag*(NOV!M_Monat=$E321))</f>
        <v>0</v>
      </c>
      <c r="V321" s="232" cm="1">
        <f t="array" ref="V321">SUMPRODUCT((NOV!M_Verweiszeile=$H321)*NOV!M_ProdN1*(NOV!M_Monat=$E321))</f>
        <v>0</v>
      </c>
      <c r="W321" s="232" cm="1">
        <f t="array" ref="W321">SUMPRODUCT((NOV!M_Verweiszeile=$H321)*NOV!M_ProdN2*(NOV!M_Monat=$E321))</f>
        <v>0</v>
      </c>
      <c r="X321" s="232" cm="1">
        <f t="array" ref="X321">SUMPRODUCT((NOV!M_Verweiszeile=$H321)*NOV!M_Reise*(NOV!M_Monat=$E321))</f>
        <v>0</v>
      </c>
      <c r="Y321" s="232" cm="1">
        <f t="array" ref="Y321">SUMPRODUCT((NOV!M_Verweiszeile=$H321)*NOV!M_Reiseabzug*(NOV!M_Monat=$E321))</f>
        <v>0</v>
      </c>
      <c r="Z321" s="232">
        <f t="shared" si="80"/>
        <v>0</v>
      </c>
      <c r="AA321" s="232">
        <f t="shared" si="70"/>
        <v>0</v>
      </c>
      <c r="AB321" s="232">
        <f t="shared" si="71"/>
        <v>0</v>
      </c>
      <c r="AC321" s="232">
        <f t="shared" si="81"/>
        <v>0</v>
      </c>
      <c r="AD321" s="232">
        <f t="shared" si="82"/>
        <v>0</v>
      </c>
      <c r="AE321" s="232">
        <f t="shared" si="83"/>
        <v>0</v>
      </c>
    </row>
    <row r="322" spans="3:31" s="185" customFormat="1" x14ac:dyDescent="0.2">
      <c r="C322" s="128">
        <v>313</v>
      </c>
      <c r="D322" s="186">
        <f t="shared" si="84"/>
        <v>46335</v>
      </c>
      <c r="E322" s="128">
        <f t="shared" si="72"/>
        <v>11</v>
      </c>
      <c r="F322" s="187">
        <f t="shared" si="73"/>
        <v>46335</v>
      </c>
      <c r="G322" s="128">
        <f t="shared" si="74"/>
        <v>46</v>
      </c>
      <c r="H322" s="128">
        <f t="shared" si="75"/>
        <v>9</v>
      </c>
      <c r="I322" s="128">
        <f t="shared" si="76"/>
        <v>1</v>
      </c>
      <c r="J322" s="188">
        <f t="shared" si="77"/>
        <v>46335</v>
      </c>
      <c r="K322" s="128" t="str" cm="1">
        <f t="array" ref="K322">IF(AND(I322&lt;7,INDEX(B_tblFTMatrix,$E322,$H322)="x"),"ft","")</f>
        <v/>
      </c>
      <c r="L322" s="128"/>
      <c r="M322" s="128"/>
      <c r="N322" s="128">
        <f t="shared" si="68"/>
        <v>1</v>
      </c>
      <c r="O322" s="128">
        <f t="shared" si="78"/>
        <v>1</v>
      </c>
      <c r="P322" s="227">
        <f t="shared" si="69"/>
        <v>8</v>
      </c>
      <c r="Q322" s="229" cm="1">
        <f t="array" ref="Q322">SUMPRODUCT((H_tblBGTage=I322)*(H_tblBGMnt=E322)*H_tblBG%)</f>
        <v>1</v>
      </c>
      <c r="R322" s="227">
        <f t="shared" si="79"/>
        <v>8</v>
      </c>
      <c r="S322" s="233"/>
      <c r="T322" s="233"/>
      <c r="U322" s="232" cm="1">
        <f t="array" ref="U322">SUMPRODUCT((NOV!M_Verweiszeile=$H322)*NOV!M_ProdTag*(NOV!M_Monat=$E322))</f>
        <v>0</v>
      </c>
      <c r="V322" s="232" cm="1">
        <f t="array" ref="V322">SUMPRODUCT((NOV!M_Verweiszeile=$H322)*NOV!M_ProdN1*(NOV!M_Monat=$E322))</f>
        <v>0</v>
      </c>
      <c r="W322" s="232" cm="1">
        <f t="array" ref="W322">SUMPRODUCT((NOV!M_Verweiszeile=$H322)*NOV!M_ProdN2*(NOV!M_Monat=$E322))</f>
        <v>0</v>
      </c>
      <c r="X322" s="232" cm="1">
        <f t="array" ref="X322">SUMPRODUCT((NOV!M_Verweiszeile=$H322)*NOV!M_Reise*(NOV!M_Monat=$E322))</f>
        <v>0</v>
      </c>
      <c r="Y322" s="232" cm="1">
        <f t="array" ref="Y322">SUMPRODUCT((NOV!M_Verweiszeile=$H322)*NOV!M_Reiseabzug*(NOV!M_Monat=$E322))</f>
        <v>0</v>
      </c>
      <c r="Z322" s="232">
        <f t="shared" si="80"/>
        <v>0</v>
      </c>
      <c r="AA322" s="232">
        <f t="shared" si="70"/>
        <v>0</v>
      </c>
      <c r="AB322" s="232">
        <f t="shared" si="71"/>
        <v>0</v>
      </c>
      <c r="AC322" s="232">
        <f t="shared" si="81"/>
        <v>0</v>
      </c>
      <c r="AD322" s="232">
        <f t="shared" si="82"/>
        <v>0</v>
      </c>
      <c r="AE322" s="232">
        <f t="shared" si="83"/>
        <v>0</v>
      </c>
    </row>
    <row r="323" spans="3:31" s="185" customFormat="1" x14ac:dyDescent="0.2">
      <c r="C323" s="128">
        <v>314</v>
      </c>
      <c r="D323" s="186">
        <f t="shared" si="84"/>
        <v>46336</v>
      </c>
      <c r="E323" s="128">
        <f t="shared" si="72"/>
        <v>11</v>
      </c>
      <c r="F323" s="187">
        <f t="shared" si="73"/>
        <v>46336</v>
      </c>
      <c r="G323" s="128">
        <f t="shared" si="74"/>
        <v>46</v>
      </c>
      <c r="H323" s="128">
        <f t="shared" si="75"/>
        <v>10</v>
      </c>
      <c r="I323" s="128">
        <f t="shared" si="76"/>
        <v>2</v>
      </c>
      <c r="J323" s="188">
        <f t="shared" si="77"/>
        <v>46336</v>
      </c>
      <c r="K323" s="128" t="str" cm="1">
        <f t="array" ref="K323">IF(AND(I323&lt;7,INDEX(B_tblFTMatrix,$E323,$H323)="x"),"ft","")</f>
        <v/>
      </c>
      <c r="L323" s="128"/>
      <c r="M323" s="128"/>
      <c r="N323" s="128">
        <f t="shared" si="68"/>
        <v>1</v>
      </c>
      <c r="O323" s="128">
        <f t="shared" si="78"/>
        <v>1</v>
      </c>
      <c r="P323" s="227">
        <f t="shared" si="69"/>
        <v>8</v>
      </c>
      <c r="Q323" s="229" cm="1">
        <f t="array" ref="Q323">SUMPRODUCT((H_tblBGTage=I323)*(H_tblBGMnt=E323)*H_tblBG%)</f>
        <v>1</v>
      </c>
      <c r="R323" s="227">
        <f t="shared" si="79"/>
        <v>8</v>
      </c>
      <c r="S323" s="233"/>
      <c r="T323" s="233"/>
      <c r="U323" s="232" cm="1">
        <f t="array" ref="U323">SUMPRODUCT((NOV!M_Verweiszeile=$H323)*NOV!M_ProdTag*(NOV!M_Monat=$E323))</f>
        <v>0</v>
      </c>
      <c r="V323" s="232" cm="1">
        <f t="array" ref="V323">SUMPRODUCT((NOV!M_Verweiszeile=$H323)*NOV!M_ProdN1*(NOV!M_Monat=$E323))</f>
        <v>0</v>
      </c>
      <c r="W323" s="232" cm="1">
        <f t="array" ref="W323">SUMPRODUCT((NOV!M_Verweiszeile=$H323)*NOV!M_ProdN2*(NOV!M_Monat=$E323))</f>
        <v>0</v>
      </c>
      <c r="X323" s="232" cm="1">
        <f t="array" ref="X323">SUMPRODUCT((NOV!M_Verweiszeile=$H323)*NOV!M_Reise*(NOV!M_Monat=$E323))</f>
        <v>0</v>
      </c>
      <c r="Y323" s="232" cm="1">
        <f t="array" ref="Y323">SUMPRODUCT((NOV!M_Verweiszeile=$H323)*NOV!M_Reiseabzug*(NOV!M_Monat=$E323))</f>
        <v>0</v>
      </c>
      <c r="Z323" s="232">
        <f t="shared" si="80"/>
        <v>0</v>
      </c>
      <c r="AA323" s="232">
        <f t="shared" si="70"/>
        <v>0</v>
      </c>
      <c r="AB323" s="232">
        <f t="shared" si="71"/>
        <v>0</v>
      </c>
      <c r="AC323" s="232">
        <f t="shared" si="81"/>
        <v>0</v>
      </c>
      <c r="AD323" s="232">
        <f t="shared" si="82"/>
        <v>0</v>
      </c>
      <c r="AE323" s="232">
        <f t="shared" si="83"/>
        <v>0</v>
      </c>
    </row>
    <row r="324" spans="3:31" s="185" customFormat="1" x14ac:dyDescent="0.2">
      <c r="C324" s="128">
        <v>315</v>
      </c>
      <c r="D324" s="186">
        <f t="shared" si="84"/>
        <v>46337</v>
      </c>
      <c r="E324" s="128">
        <f t="shared" si="72"/>
        <v>11</v>
      </c>
      <c r="F324" s="187">
        <f t="shared" si="73"/>
        <v>46337</v>
      </c>
      <c r="G324" s="128">
        <f t="shared" si="74"/>
        <v>46</v>
      </c>
      <c r="H324" s="128">
        <f t="shared" si="75"/>
        <v>11</v>
      </c>
      <c r="I324" s="128">
        <f t="shared" si="76"/>
        <v>3</v>
      </c>
      <c r="J324" s="188">
        <f t="shared" si="77"/>
        <v>46337</v>
      </c>
      <c r="K324" s="128" t="str" cm="1">
        <f t="array" ref="K324">IF(AND(I324&lt;7,INDEX(B_tblFTMatrix,$E324,$H324)="x"),"ft","")</f>
        <v/>
      </c>
      <c r="L324" s="128"/>
      <c r="M324" s="128"/>
      <c r="N324" s="128">
        <f t="shared" si="68"/>
        <v>1</v>
      </c>
      <c r="O324" s="128">
        <f t="shared" si="78"/>
        <v>1</v>
      </c>
      <c r="P324" s="227">
        <f t="shared" si="69"/>
        <v>8</v>
      </c>
      <c r="Q324" s="229" cm="1">
        <f t="array" ref="Q324">SUMPRODUCT((H_tblBGTage=I324)*(H_tblBGMnt=E324)*H_tblBG%)</f>
        <v>1</v>
      </c>
      <c r="R324" s="227">
        <f t="shared" si="79"/>
        <v>8</v>
      </c>
      <c r="S324" s="233"/>
      <c r="T324" s="233"/>
      <c r="U324" s="232" cm="1">
        <f t="array" ref="U324">SUMPRODUCT((NOV!M_Verweiszeile=$H324)*NOV!M_ProdTag*(NOV!M_Monat=$E324))</f>
        <v>0</v>
      </c>
      <c r="V324" s="232" cm="1">
        <f t="array" ref="V324">SUMPRODUCT((NOV!M_Verweiszeile=$H324)*NOV!M_ProdN1*(NOV!M_Monat=$E324))</f>
        <v>0</v>
      </c>
      <c r="W324" s="232" cm="1">
        <f t="array" ref="W324">SUMPRODUCT((NOV!M_Verweiszeile=$H324)*NOV!M_ProdN2*(NOV!M_Monat=$E324))</f>
        <v>0</v>
      </c>
      <c r="X324" s="232" cm="1">
        <f t="array" ref="X324">SUMPRODUCT((NOV!M_Verweiszeile=$H324)*NOV!M_Reise*(NOV!M_Monat=$E324))</f>
        <v>0</v>
      </c>
      <c r="Y324" s="232" cm="1">
        <f t="array" ref="Y324">SUMPRODUCT((NOV!M_Verweiszeile=$H324)*NOV!M_Reiseabzug*(NOV!M_Monat=$E324))</f>
        <v>0</v>
      </c>
      <c r="Z324" s="232">
        <f t="shared" si="80"/>
        <v>0</v>
      </c>
      <c r="AA324" s="232">
        <f t="shared" si="70"/>
        <v>0</v>
      </c>
      <c r="AB324" s="232">
        <f t="shared" si="71"/>
        <v>0</v>
      </c>
      <c r="AC324" s="232">
        <f t="shared" si="81"/>
        <v>0</v>
      </c>
      <c r="AD324" s="232">
        <f t="shared" si="82"/>
        <v>0</v>
      </c>
      <c r="AE324" s="232">
        <f t="shared" si="83"/>
        <v>0</v>
      </c>
    </row>
    <row r="325" spans="3:31" s="185" customFormat="1" x14ac:dyDescent="0.2">
      <c r="C325" s="128">
        <v>316</v>
      </c>
      <c r="D325" s="186">
        <f t="shared" si="84"/>
        <v>46338</v>
      </c>
      <c r="E325" s="128">
        <f t="shared" si="72"/>
        <v>11</v>
      </c>
      <c r="F325" s="187">
        <f t="shared" si="73"/>
        <v>46338</v>
      </c>
      <c r="G325" s="128">
        <f t="shared" si="74"/>
        <v>46</v>
      </c>
      <c r="H325" s="128">
        <f t="shared" si="75"/>
        <v>12</v>
      </c>
      <c r="I325" s="128">
        <f t="shared" si="76"/>
        <v>4</v>
      </c>
      <c r="J325" s="188">
        <f t="shared" si="77"/>
        <v>46338</v>
      </c>
      <c r="K325" s="128" t="str" cm="1">
        <f t="array" ref="K325">IF(AND(I325&lt;7,INDEX(B_tblFTMatrix,$E325,$H325)="x"),"ft","")</f>
        <v/>
      </c>
      <c r="L325" s="128"/>
      <c r="M325" s="128"/>
      <c r="N325" s="128">
        <f t="shared" si="68"/>
        <v>1</v>
      </c>
      <c r="O325" s="128">
        <f t="shared" si="78"/>
        <v>1</v>
      </c>
      <c r="P325" s="227">
        <f t="shared" si="69"/>
        <v>8</v>
      </c>
      <c r="Q325" s="229" cm="1">
        <f t="array" ref="Q325">SUMPRODUCT((H_tblBGTage=I325)*(H_tblBGMnt=E325)*H_tblBG%)</f>
        <v>1</v>
      </c>
      <c r="R325" s="227">
        <f t="shared" si="79"/>
        <v>8</v>
      </c>
      <c r="S325" s="233"/>
      <c r="T325" s="233"/>
      <c r="U325" s="232" cm="1">
        <f t="array" ref="U325">SUMPRODUCT((NOV!M_Verweiszeile=$H325)*NOV!M_ProdTag*(NOV!M_Monat=$E325))</f>
        <v>0</v>
      </c>
      <c r="V325" s="232" cm="1">
        <f t="array" ref="V325">SUMPRODUCT((NOV!M_Verweiszeile=$H325)*NOV!M_ProdN1*(NOV!M_Monat=$E325))</f>
        <v>0</v>
      </c>
      <c r="W325" s="232" cm="1">
        <f t="array" ref="W325">SUMPRODUCT((NOV!M_Verweiszeile=$H325)*NOV!M_ProdN2*(NOV!M_Monat=$E325))</f>
        <v>0</v>
      </c>
      <c r="X325" s="232" cm="1">
        <f t="array" ref="X325">SUMPRODUCT((NOV!M_Verweiszeile=$H325)*NOV!M_Reise*(NOV!M_Monat=$E325))</f>
        <v>0</v>
      </c>
      <c r="Y325" s="232" cm="1">
        <f t="array" ref="Y325">SUMPRODUCT((NOV!M_Verweiszeile=$H325)*NOV!M_Reiseabzug*(NOV!M_Monat=$E325))</f>
        <v>0</v>
      </c>
      <c r="Z325" s="232">
        <f t="shared" si="80"/>
        <v>0</v>
      </c>
      <c r="AA325" s="232">
        <f t="shared" si="70"/>
        <v>0</v>
      </c>
      <c r="AB325" s="232">
        <f t="shared" si="71"/>
        <v>0</v>
      </c>
      <c r="AC325" s="232">
        <f t="shared" si="81"/>
        <v>0</v>
      </c>
      <c r="AD325" s="232">
        <f t="shared" si="82"/>
        <v>0</v>
      </c>
      <c r="AE325" s="232">
        <f t="shared" si="83"/>
        <v>0</v>
      </c>
    </row>
    <row r="326" spans="3:31" s="185" customFormat="1" x14ac:dyDescent="0.2">
      <c r="C326" s="128">
        <v>317</v>
      </c>
      <c r="D326" s="186">
        <f t="shared" si="84"/>
        <v>46339</v>
      </c>
      <c r="E326" s="128">
        <f t="shared" si="72"/>
        <v>11</v>
      </c>
      <c r="F326" s="187">
        <f t="shared" si="73"/>
        <v>46339</v>
      </c>
      <c r="G326" s="128">
        <f t="shared" si="74"/>
        <v>46</v>
      </c>
      <c r="H326" s="128">
        <f t="shared" si="75"/>
        <v>13</v>
      </c>
      <c r="I326" s="128">
        <f t="shared" si="76"/>
        <v>5</v>
      </c>
      <c r="J326" s="188">
        <f t="shared" si="77"/>
        <v>46339</v>
      </c>
      <c r="K326" s="128" t="str" cm="1">
        <f t="array" ref="K326">IF(AND(I326&lt;7,INDEX(B_tblFTMatrix,$E326,$H326)="x"),"ft","")</f>
        <v/>
      </c>
      <c r="L326" s="128"/>
      <c r="M326" s="128"/>
      <c r="N326" s="128">
        <f t="shared" si="68"/>
        <v>1</v>
      </c>
      <c r="O326" s="128">
        <f t="shared" si="78"/>
        <v>1</v>
      </c>
      <c r="P326" s="227">
        <f t="shared" si="69"/>
        <v>8</v>
      </c>
      <c r="Q326" s="229" cm="1">
        <f t="array" ref="Q326">SUMPRODUCT((H_tblBGTage=I326)*(H_tblBGMnt=E326)*H_tblBG%)</f>
        <v>1</v>
      </c>
      <c r="R326" s="227">
        <f t="shared" si="79"/>
        <v>8</v>
      </c>
      <c r="S326" s="233"/>
      <c r="T326" s="233"/>
      <c r="U326" s="232" cm="1">
        <f t="array" ref="U326">SUMPRODUCT((NOV!M_Verweiszeile=$H326)*NOV!M_ProdTag*(NOV!M_Monat=$E326))</f>
        <v>0</v>
      </c>
      <c r="V326" s="232" cm="1">
        <f t="array" ref="V326">SUMPRODUCT((NOV!M_Verweiszeile=$H326)*NOV!M_ProdN1*(NOV!M_Monat=$E326))</f>
        <v>0</v>
      </c>
      <c r="W326" s="232" cm="1">
        <f t="array" ref="W326">SUMPRODUCT((NOV!M_Verweiszeile=$H326)*NOV!M_ProdN2*(NOV!M_Monat=$E326))</f>
        <v>0</v>
      </c>
      <c r="X326" s="232" cm="1">
        <f t="array" ref="X326">SUMPRODUCT((NOV!M_Verweiszeile=$H326)*NOV!M_Reise*(NOV!M_Monat=$E326))</f>
        <v>0</v>
      </c>
      <c r="Y326" s="232" cm="1">
        <f t="array" ref="Y326">SUMPRODUCT((NOV!M_Verweiszeile=$H326)*NOV!M_Reiseabzug*(NOV!M_Monat=$E326))</f>
        <v>0</v>
      </c>
      <c r="Z326" s="232">
        <f t="shared" si="80"/>
        <v>0</v>
      </c>
      <c r="AA326" s="232">
        <f t="shared" si="70"/>
        <v>0</v>
      </c>
      <c r="AB326" s="232">
        <f t="shared" si="71"/>
        <v>0</v>
      </c>
      <c r="AC326" s="232">
        <f t="shared" si="81"/>
        <v>0</v>
      </c>
      <c r="AD326" s="232">
        <f t="shared" si="82"/>
        <v>0</v>
      </c>
      <c r="AE326" s="232">
        <f t="shared" si="83"/>
        <v>0</v>
      </c>
    </row>
    <row r="327" spans="3:31" s="185" customFormat="1" x14ac:dyDescent="0.2">
      <c r="C327" s="128">
        <v>318</v>
      </c>
      <c r="D327" s="186">
        <f t="shared" si="84"/>
        <v>46340</v>
      </c>
      <c r="E327" s="128">
        <f t="shared" si="72"/>
        <v>11</v>
      </c>
      <c r="F327" s="187">
        <f t="shared" si="73"/>
        <v>46340</v>
      </c>
      <c r="G327" s="128">
        <f t="shared" si="74"/>
        <v>46</v>
      </c>
      <c r="H327" s="128">
        <f t="shared" si="75"/>
        <v>14</v>
      </c>
      <c r="I327" s="128">
        <f t="shared" si="76"/>
        <v>6</v>
      </c>
      <c r="J327" s="188">
        <f t="shared" si="77"/>
        <v>46340</v>
      </c>
      <c r="K327" s="128" t="str" cm="1">
        <f t="array" ref="K327">IF(AND(I327&lt;7,INDEX(B_tblFTMatrix,$E327,$H327)="x"),"ft","")</f>
        <v/>
      </c>
      <c r="L327" s="128"/>
      <c r="M327" s="128"/>
      <c r="N327" s="128">
        <f t="shared" si="68"/>
        <v>0</v>
      </c>
      <c r="O327" s="128">
        <f t="shared" si="78"/>
        <v>0</v>
      </c>
      <c r="P327" s="227">
        <f t="shared" si="69"/>
        <v>0</v>
      </c>
      <c r="Q327" s="229" cm="1">
        <f t="array" ref="Q327">SUMPRODUCT((H_tblBGTage=I327)*(H_tblBGMnt=E327)*H_tblBG%)</f>
        <v>0</v>
      </c>
      <c r="R327" s="227">
        <f t="shared" si="79"/>
        <v>0</v>
      </c>
      <c r="S327" s="233"/>
      <c r="T327" s="233"/>
      <c r="U327" s="232" cm="1">
        <f t="array" ref="U327">SUMPRODUCT((NOV!M_Verweiszeile=$H327)*NOV!M_ProdTag*(NOV!M_Monat=$E327))</f>
        <v>0</v>
      </c>
      <c r="V327" s="232" cm="1">
        <f t="array" ref="V327">SUMPRODUCT((NOV!M_Verweiszeile=$H327)*NOV!M_ProdN1*(NOV!M_Monat=$E327))</f>
        <v>0</v>
      </c>
      <c r="W327" s="232" cm="1">
        <f t="array" ref="W327">SUMPRODUCT((NOV!M_Verweiszeile=$H327)*NOV!M_ProdN2*(NOV!M_Monat=$E327))</f>
        <v>0</v>
      </c>
      <c r="X327" s="232" cm="1">
        <f t="array" ref="X327">SUMPRODUCT((NOV!M_Verweiszeile=$H327)*NOV!M_Reise*(NOV!M_Monat=$E327))</f>
        <v>0</v>
      </c>
      <c r="Y327" s="232" cm="1">
        <f t="array" ref="Y327">SUMPRODUCT((NOV!M_Verweiszeile=$H327)*NOV!M_Reiseabzug*(NOV!M_Monat=$E327))</f>
        <v>0</v>
      </c>
      <c r="Z327" s="232">
        <f t="shared" si="80"/>
        <v>0</v>
      </c>
      <c r="AA327" s="232">
        <f t="shared" si="70"/>
        <v>0</v>
      </c>
      <c r="AB327" s="232">
        <f t="shared" si="71"/>
        <v>0</v>
      </c>
      <c r="AC327" s="232">
        <f t="shared" si="81"/>
        <v>0</v>
      </c>
      <c r="AD327" s="232">
        <f t="shared" si="82"/>
        <v>0</v>
      </c>
      <c r="AE327" s="232">
        <f t="shared" si="83"/>
        <v>0</v>
      </c>
    </row>
    <row r="328" spans="3:31" s="185" customFormat="1" x14ac:dyDescent="0.2">
      <c r="C328" s="128">
        <v>319</v>
      </c>
      <c r="D328" s="186">
        <f t="shared" si="84"/>
        <v>46341</v>
      </c>
      <c r="E328" s="128">
        <f t="shared" si="72"/>
        <v>11</v>
      </c>
      <c r="F328" s="187">
        <f t="shared" si="73"/>
        <v>46341</v>
      </c>
      <c r="G328" s="128">
        <f t="shared" si="74"/>
        <v>46</v>
      </c>
      <c r="H328" s="128">
        <f t="shared" si="75"/>
        <v>15</v>
      </c>
      <c r="I328" s="128">
        <f t="shared" si="76"/>
        <v>7</v>
      </c>
      <c r="J328" s="188">
        <f t="shared" si="77"/>
        <v>46341</v>
      </c>
      <c r="K328" s="128" t="str" cm="1">
        <f t="array" ref="K328">IF(AND(I328&lt;7,INDEX(B_tblFTMatrix,$E328,$H328)="x"),"ft","")</f>
        <v/>
      </c>
      <c r="L328" s="128"/>
      <c r="M328" s="128"/>
      <c r="N328" s="128">
        <f t="shared" si="68"/>
        <v>0</v>
      </c>
      <c r="O328" s="128">
        <f t="shared" si="78"/>
        <v>0</v>
      </c>
      <c r="P328" s="227">
        <f t="shared" si="69"/>
        <v>0</v>
      </c>
      <c r="Q328" s="229" cm="1">
        <f t="array" ref="Q328">SUMPRODUCT((H_tblBGTage=I328)*(H_tblBGMnt=E328)*H_tblBG%)</f>
        <v>0</v>
      </c>
      <c r="R328" s="227">
        <f t="shared" si="79"/>
        <v>0</v>
      </c>
      <c r="S328" s="233"/>
      <c r="T328" s="233"/>
      <c r="U328" s="232" cm="1">
        <f t="array" ref="U328">SUMPRODUCT((NOV!M_Verweiszeile=$H328)*NOV!M_ProdTag*(NOV!M_Monat=$E328))</f>
        <v>0</v>
      </c>
      <c r="V328" s="232" cm="1">
        <f t="array" ref="V328">SUMPRODUCT((NOV!M_Verweiszeile=$H328)*NOV!M_ProdN1*(NOV!M_Monat=$E328))</f>
        <v>0</v>
      </c>
      <c r="W328" s="232" cm="1">
        <f t="array" ref="W328">SUMPRODUCT((NOV!M_Verweiszeile=$H328)*NOV!M_ProdN2*(NOV!M_Monat=$E328))</f>
        <v>0</v>
      </c>
      <c r="X328" s="232" cm="1">
        <f t="array" ref="X328">SUMPRODUCT((NOV!M_Verweiszeile=$H328)*NOV!M_Reise*(NOV!M_Monat=$E328))</f>
        <v>0</v>
      </c>
      <c r="Y328" s="232" cm="1">
        <f t="array" ref="Y328">SUMPRODUCT((NOV!M_Verweiszeile=$H328)*NOV!M_Reiseabzug*(NOV!M_Monat=$E328))</f>
        <v>0</v>
      </c>
      <c r="Z328" s="232">
        <f t="shared" si="80"/>
        <v>0</v>
      </c>
      <c r="AA328" s="232">
        <f t="shared" si="70"/>
        <v>0</v>
      </c>
      <c r="AB328" s="232">
        <f t="shared" si="71"/>
        <v>0</v>
      </c>
      <c r="AC328" s="232">
        <f t="shared" si="81"/>
        <v>0</v>
      </c>
      <c r="AD328" s="232">
        <f t="shared" si="82"/>
        <v>0</v>
      </c>
      <c r="AE328" s="232">
        <f t="shared" si="83"/>
        <v>0</v>
      </c>
    </row>
    <row r="329" spans="3:31" s="185" customFormat="1" x14ac:dyDescent="0.2">
      <c r="C329" s="128">
        <v>320</v>
      </c>
      <c r="D329" s="186">
        <f t="shared" si="84"/>
        <v>46342</v>
      </c>
      <c r="E329" s="128">
        <f t="shared" si="72"/>
        <v>11</v>
      </c>
      <c r="F329" s="187">
        <f t="shared" si="73"/>
        <v>46342</v>
      </c>
      <c r="G329" s="128">
        <f t="shared" si="74"/>
        <v>47</v>
      </c>
      <c r="H329" s="128">
        <f t="shared" si="75"/>
        <v>16</v>
      </c>
      <c r="I329" s="128">
        <f t="shared" si="76"/>
        <v>1</v>
      </c>
      <c r="J329" s="188">
        <f t="shared" si="77"/>
        <v>46342</v>
      </c>
      <c r="K329" s="128" t="str" cm="1">
        <f t="array" ref="K329">IF(AND(I329&lt;7,INDEX(B_tblFTMatrix,$E329,$H329)="x"),"ft","")</f>
        <v/>
      </c>
      <c r="L329" s="128"/>
      <c r="M329" s="128"/>
      <c r="N329" s="128">
        <f t="shared" si="68"/>
        <v>1</v>
      </c>
      <c r="O329" s="128">
        <f t="shared" si="78"/>
        <v>1</v>
      </c>
      <c r="P329" s="227">
        <f t="shared" si="69"/>
        <v>8</v>
      </c>
      <c r="Q329" s="229" cm="1">
        <f t="array" ref="Q329">SUMPRODUCT((H_tblBGTage=I329)*(H_tblBGMnt=E329)*H_tblBG%)</f>
        <v>1</v>
      </c>
      <c r="R329" s="227">
        <f t="shared" si="79"/>
        <v>8</v>
      </c>
      <c r="S329" s="233"/>
      <c r="T329" s="233"/>
      <c r="U329" s="232" cm="1">
        <f t="array" ref="U329">SUMPRODUCT((NOV!M_Verweiszeile=$H329)*NOV!M_ProdTag*(NOV!M_Monat=$E329))</f>
        <v>0</v>
      </c>
      <c r="V329" s="232" cm="1">
        <f t="array" ref="V329">SUMPRODUCT((NOV!M_Verweiszeile=$H329)*NOV!M_ProdN1*(NOV!M_Monat=$E329))</f>
        <v>0</v>
      </c>
      <c r="W329" s="232" cm="1">
        <f t="array" ref="W329">SUMPRODUCT((NOV!M_Verweiszeile=$H329)*NOV!M_ProdN2*(NOV!M_Monat=$E329))</f>
        <v>0</v>
      </c>
      <c r="X329" s="232" cm="1">
        <f t="array" ref="X329">SUMPRODUCT((NOV!M_Verweiszeile=$H329)*NOV!M_Reise*(NOV!M_Monat=$E329))</f>
        <v>0</v>
      </c>
      <c r="Y329" s="232" cm="1">
        <f t="array" ref="Y329">SUMPRODUCT((NOV!M_Verweiszeile=$H329)*NOV!M_Reiseabzug*(NOV!M_Monat=$E329))</f>
        <v>0</v>
      </c>
      <c r="Z329" s="232">
        <f t="shared" si="80"/>
        <v>0</v>
      </c>
      <c r="AA329" s="232">
        <f t="shared" si="70"/>
        <v>0</v>
      </c>
      <c r="AB329" s="232">
        <f t="shared" si="71"/>
        <v>0</v>
      </c>
      <c r="AC329" s="232">
        <f t="shared" si="81"/>
        <v>0</v>
      </c>
      <c r="AD329" s="232">
        <f t="shared" si="82"/>
        <v>0</v>
      </c>
      <c r="AE329" s="232">
        <f t="shared" si="83"/>
        <v>0</v>
      </c>
    </row>
    <row r="330" spans="3:31" s="185" customFormat="1" x14ac:dyDescent="0.2">
      <c r="C330" s="128">
        <v>321</v>
      </c>
      <c r="D330" s="186">
        <f t="shared" si="84"/>
        <v>46343</v>
      </c>
      <c r="E330" s="128">
        <f t="shared" si="72"/>
        <v>11</v>
      </c>
      <c r="F330" s="187">
        <f t="shared" si="73"/>
        <v>46343</v>
      </c>
      <c r="G330" s="128">
        <f t="shared" si="74"/>
        <v>47</v>
      </c>
      <c r="H330" s="128">
        <f t="shared" si="75"/>
        <v>17</v>
      </c>
      <c r="I330" s="128">
        <f t="shared" si="76"/>
        <v>2</v>
      </c>
      <c r="J330" s="188">
        <f t="shared" si="77"/>
        <v>46343</v>
      </c>
      <c r="K330" s="128" t="str" cm="1">
        <f t="array" ref="K330">IF(AND(I330&lt;7,INDEX(B_tblFTMatrix,$E330,$H330)="x"),"ft","")</f>
        <v/>
      </c>
      <c r="L330" s="128"/>
      <c r="M330" s="128"/>
      <c r="N330" s="128">
        <f t="shared" ref="N330:N374" si="85">IF(I330&lt;6,1,0)</f>
        <v>1</v>
      </c>
      <c r="O330" s="128">
        <f t="shared" si="78"/>
        <v>1</v>
      </c>
      <c r="P330" s="227">
        <f t="shared" ref="P330:P374" si="86">IFERROR($E$3*N330,0)</f>
        <v>8</v>
      </c>
      <c r="Q330" s="229" cm="1">
        <f t="array" ref="Q330">SUMPRODUCT((H_tblBGTage=I330)*(H_tblBGMnt=E330)*H_tblBG%)</f>
        <v>1</v>
      </c>
      <c r="R330" s="227">
        <f t="shared" si="79"/>
        <v>8</v>
      </c>
      <c r="S330" s="233"/>
      <c r="T330" s="233"/>
      <c r="U330" s="232" cm="1">
        <f t="array" ref="U330">SUMPRODUCT((NOV!M_Verweiszeile=$H330)*NOV!M_ProdTag*(NOV!M_Monat=$E330))</f>
        <v>0</v>
      </c>
      <c r="V330" s="232" cm="1">
        <f t="array" ref="V330">SUMPRODUCT((NOV!M_Verweiszeile=$H330)*NOV!M_ProdN1*(NOV!M_Monat=$E330))</f>
        <v>0</v>
      </c>
      <c r="W330" s="232" cm="1">
        <f t="array" ref="W330">SUMPRODUCT((NOV!M_Verweiszeile=$H330)*NOV!M_ProdN2*(NOV!M_Monat=$E330))</f>
        <v>0</v>
      </c>
      <c r="X330" s="232" cm="1">
        <f t="array" ref="X330">SUMPRODUCT((NOV!M_Verweiszeile=$H330)*NOV!M_Reise*(NOV!M_Monat=$E330))</f>
        <v>0</v>
      </c>
      <c r="Y330" s="232" cm="1">
        <f t="array" ref="Y330">SUMPRODUCT((NOV!M_Verweiszeile=$H330)*NOV!M_Reiseabzug*(NOV!M_Monat=$E330))</f>
        <v>0</v>
      </c>
      <c r="Z330" s="232">
        <f t="shared" si="80"/>
        <v>0</v>
      </c>
      <c r="AA330" s="232">
        <f t="shared" ref="AA330:AA375" si="87">IFERROR(IF($K330="ft",R330,0),0)</f>
        <v>0</v>
      </c>
      <c r="AB330" s="232">
        <f t="shared" ref="AB330:AB375" si="88">SUM(V330:W330)*A_fldZ2</f>
        <v>0</v>
      </c>
      <c r="AC330" s="232">
        <f t="shared" si="81"/>
        <v>0</v>
      </c>
      <c r="AD330" s="232">
        <f t="shared" si="82"/>
        <v>0</v>
      </c>
      <c r="AE330" s="232">
        <f t="shared" si="83"/>
        <v>0</v>
      </c>
    </row>
    <row r="331" spans="3:31" s="185" customFormat="1" x14ac:dyDescent="0.2">
      <c r="C331" s="128">
        <v>322</v>
      </c>
      <c r="D331" s="186">
        <f t="shared" si="84"/>
        <v>46344</v>
      </c>
      <c r="E331" s="128">
        <f t="shared" ref="E331:E374" si="89">MONTH(D331)</f>
        <v>11</v>
      </c>
      <c r="F331" s="187">
        <f t="shared" ref="F331:F374" si="90">D331</f>
        <v>46344</v>
      </c>
      <c r="G331" s="128">
        <f t="shared" ref="G331:G374" si="91">_xlfn.ISOWEEKNUM(D331)</f>
        <v>47</v>
      </c>
      <c r="H331" s="128">
        <f t="shared" ref="H331:H374" si="92">DAY(D331)</f>
        <v>18</v>
      </c>
      <c r="I331" s="128">
        <f t="shared" ref="I331:I374" si="93">WEEKDAY(D331,2)</f>
        <v>3</v>
      </c>
      <c r="J331" s="188">
        <f t="shared" ref="J331:J374" si="94">D331</f>
        <v>46344</v>
      </c>
      <c r="K331" s="128" t="str" cm="1">
        <f t="array" ref="K331">IF(AND(I331&lt;7,INDEX(B_tblFTMatrix,$E331,$H331)="x"),"ft","")</f>
        <v/>
      </c>
      <c r="L331" s="128"/>
      <c r="M331" s="128"/>
      <c r="N331" s="128">
        <f t="shared" si="85"/>
        <v>1</v>
      </c>
      <c r="O331" s="128">
        <f t="shared" ref="O331:O375" si="95">IF(AND(L331&lt;&gt;"x",N331),1,0)</f>
        <v>1</v>
      </c>
      <c r="P331" s="227">
        <f t="shared" si="86"/>
        <v>8</v>
      </c>
      <c r="Q331" s="229" cm="1">
        <f t="array" ref="Q331">SUMPRODUCT((H_tblBGTage=I331)*(H_tblBGMnt=E331)*H_tblBG%)</f>
        <v>1</v>
      </c>
      <c r="R331" s="227">
        <f t="shared" ref="R331:R375" si="96">IFERROR(P331*Q331,0)</f>
        <v>8</v>
      </c>
      <c r="S331" s="233"/>
      <c r="T331" s="233"/>
      <c r="U331" s="232" cm="1">
        <f t="array" ref="U331">SUMPRODUCT((NOV!M_Verweiszeile=$H331)*NOV!M_ProdTag*(NOV!M_Monat=$E331))</f>
        <v>0</v>
      </c>
      <c r="V331" s="232" cm="1">
        <f t="array" ref="V331">SUMPRODUCT((NOV!M_Verweiszeile=$H331)*NOV!M_ProdN1*(NOV!M_Monat=$E331))</f>
        <v>0</v>
      </c>
      <c r="W331" s="232" cm="1">
        <f t="array" ref="W331">SUMPRODUCT((NOV!M_Verweiszeile=$H331)*NOV!M_ProdN2*(NOV!M_Monat=$E331))</f>
        <v>0</v>
      </c>
      <c r="X331" s="232" cm="1">
        <f t="array" ref="X331">SUMPRODUCT((NOV!M_Verweiszeile=$H331)*NOV!M_Reise*(NOV!M_Monat=$E331))</f>
        <v>0</v>
      </c>
      <c r="Y331" s="232" cm="1">
        <f t="array" ref="Y331">SUMPRODUCT((NOV!M_Verweiszeile=$H331)*NOV!M_Reiseabzug*(NOV!M_Monat=$E331))</f>
        <v>0</v>
      </c>
      <c r="Z331" s="232">
        <f t="shared" ref="Z331:Z375" si="97">SUM(U331:X331)-Y331</f>
        <v>0</v>
      </c>
      <c r="AA331" s="232">
        <f t="shared" si="87"/>
        <v>0</v>
      </c>
      <c r="AB331" s="232">
        <f t="shared" si="88"/>
        <v>0</v>
      </c>
      <c r="AC331" s="232">
        <f t="shared" ref="AC331:AC375" si="98">IF(OR(I331=7,K331="ft"),U331,0)</f>
        <v>0</v>
      </c>
      <c r="AD331" s="232">
        <f t="shared" ref="AD331:AD375" si="99">SUM(AA331:AC331)</f>
        <v>0</v>
      </c>
      <c r="AE331" s="232">
        <f t="shared" ref="AE331:AE375" si="100">Z331+AD331</f>
        <v>0</v>
      </c>
    </row>
    <row r="332" spans="3:31" s="185" customFormat="1" x14ac:dyDescent="0.2">
      <c r="C332" s="128">
        <v>323</v>
      </c>
      <c r="D332" s="186">
        <f t="shared" ref="D332:D375" si="101">D331+1</f>
        <v>46345</v>
      </c>
      <c r="E332" s="128">
        <f t="shared" si="89"/>
        <v>11</v>
      </c>
      <c r="F332" s="187">
        <f t="shared" si="90"/>
        <v>46345</v>
      </c>
      <c r="G332" s="128">
        <f t="shared" si="91"/>
        <v>47</v>
      </c>
      <c r="H332" s="128">
        <f t="shared" si="92"/>
        <v>19</v>
      </c>
      <c r="I332" s="128">
        <f t="shared" si="93"/>
        <v>4</v>
      </c>
      <c r="J332" s="188">
        <f t="shared" si="94"/>
        <v>46345</v>
      </c>
      <c r="K332" s="128" t="str" cm="1">
        <f t="array" ref="K332">IF(AND(I332&lt;7,INDEX(B_tblFTMatrix,$E332,$H332)="x"),"ft","")</f>
        <v/>
      </c>
      <c r="L332" s="128"/>
      <c r="M332" s="128"/>
      <c r="N332" s="128">
        <f t="shared" si="85"/>
        <v>1</v>
      </c>
      <c r="O332" s="128">
        <f t="shared" si="95"/>
        <v>1</v>
      </c>
      <c r="P332" s="227">
        <f t="shared" si="86"/>
        <v>8</v>
      </c>
      <c r="Q332" s="229" cm="1">
        <f t="array" ref="Q332">SUMPRODUCT((H_tblBGTage=I332)*(H_tblBGMnt=E332)*H_tblBG%)</f>
        <v>1</v>
      </c>
      <c r="R332" s="227">
        <f t="shared" si="96"/>
        <v>8</v>
      </c>
      <c r="S332" s="233"/>
      <c r="T332" s="233"/>
      <c r="U332" s="232" cm="1">
        <f t="array" ref="U332">SUMPRODUCT((NOV!M_Verweiszeile=$H332)*NOV!M_ProdTag*(NOV!M_Monat=$E332))</f>
        <v>0</v>
      </c>
      <c r="V332" s="232" cm="1">
        <f t="array" ref="V332">SUMPRODUCT((NOV!M_Verweiszeile=$H332)*NOV!M_ProdN1*(NOV!M_Monat=$E332))</f>
        <v>0</v>
      </c>
      <c r="W332" s="232" cm="1">
        <f t="array" ref="W332">SUMPRODUCT((NOV!M_Verweiszeile=$H332)*NOV!M_ProdN2*(NOV!M_Monat=$E332))</f>
        <v>0</v>
      </c>
      <c r="X332" s="232" cm="1">
        <f t="array" ref="X332">SUMPRODUCT((NOV!M_Verweiszeile=$H332)*NOV!M_Reise*(NOV!M_Monat=$E332))</f>
        <v>0</v>
      </c>
      <c r="Y332" s="232" cm="1">
        <f t="array" ref="Y332">SUMPRODUCT((NOV!M_Verweiszeile=$H332)*NOV!M_Reiseabzug*(NOV!M_Monat=$E332))</f>
        <v>0</v>
      </c>
      <c r="Z332" s="232">
        <f t="shared" si="97"/>
        <v>0</v>
      </c>
      <c r="AA332" s="232">
        <f t="shared" si="87"/>
        <v>0</v>
      </c>
      <c r="AB332" s="232">
        <f t="shared" si="88"/>
        <v>0</v>
      </c>
      <c r="AC332" s="232">
        <f t="shared" si="98"/>
        <v>0</v>
      </c>
      <c r="AD332" s="232">
        <f t="shared" si="99"/>
        <v>0</v>
      </c>
      <c r="AE332" s="232">
        <f t="shared" si="100"/>
        <v>0</v>
      </c>
    </row>
    <row r="333" spans="3:31" s="185" customFormat="1" x14ac:dyDescent="0.2">
      <c r="C333" s="128">
        <v>324</v>
      </c>
      <c r="D333" s="186">
        <f t="shared" si="101"/>
        <v>46346</v>
      </c>
      <c r="E333" s="128">
        <f t="shared" si="89"/>
        <v>11</v>
      </c>
      <c r="F333" s="187">
        <f t="shared" si="90"/>
        <v>46346</v>
      </c>
      <c r="G333" s="128">
        <f t="shared" si="91"/>
        <v>47</v>
      </c>
      <c r="H333" s="128">
        <f t="shared" si="92"/>
        <v>20</v>
      </c>
      <c r="I333" s="128">
        <f t="shared" si="93"/>
        <v>5</v>
      </c>
      <c r="J333" s="188">
        <f t="shared" si="94"/>
        <v>46346</v>
      </c>
      <c r="K333" s="128" t="str" cm="1">
        <f t="array" ref="K333">IF(AND(I333&lt;7,INDEX(B_tblFTMatrix,$E333,$H333)="x"),"ft","")</f>
        <v/>
      </c>
      <c r="L333" s="128"/>
      <c r="M333" s="128"/>
      <c r="N333" s="128">
        <f t="shared" si="85"/>
        <v>1</v>
      </c>
      <c r="O333" s="128">
        <f t="shared" si="95"/>
        <v>1</v>
      </c>
      <c r="P333" s="227">
        <f t="shared" si="86"/>
        <v>8</v>
      </c>
      <c r="Q333" s="229" cm="1">
        <f t="array" ref="Q333">SUMPRODUCT((H_tblBGTage=I333)*(H_tblBGMnt=E333)*H_tblBG%)</f>
        <v>1</v>
      </c>
      <c r="R333" s="227">
        <f t="shared" si="96"/>
        <v>8</v>
      </c>
      <c r="S333" s="233"/>
      <c r="T333" s="233"/>
      <c r="U333" s="232" cm="1">
        <f t="array" ref="U333">SUMPRODUCT((NOV!M_Verweiszeile=$H333)*NOV!M_ProdTag*(NOV!M_Monat=$E333))</f>
        <v>0</v>
      </c>
      <c r="V333" s="232" cm="1">
        <f t="array" ref="V333">SUMPRODUCT((NOV!M_Verweiszeile=$H333)*NOV!M_ProdN1*(NOV!M_Monat=$E333))</f>
        <v>0</v>
      </c>
      <c r="W333" s="232" cm="1">
        <f t="array" ref="W333">SUMPRODUCT((NOV!M_Verweiszeile=$H333)*NOV!M_ProdN2*(NOV!M_Monat=$E333))</f>
        <v>0</v>
      </c>
      <c r="X333" s="232" cm="1">
        <f t="array" ref="X333">SUMPRODUCT((NOV!M_Verweiszeile=$H333)*NOV!M_Reise*(NOV!M_Monat=$E333))</f>
        <v>0</v>
      </c>
      <c r="Y333" s="232" cm="1">
        <f t="array" ref="Y333">SUMPRODUCT((NOV!M_Verweiszeile=$H333)*NOV!M_Reiseabzug*(NOV!M_Monat=$E333))</f>
        <v>0</v>
      </c>
      <c r="Z333" s="232">
        <f t="shared" si="97"/>
        <v>0</v>
      </c>
      <c r="AA333" s="232">
        <f t="shared" si="87"/>
        <v>0</v>
      </c>
      <c r="AB333" s="232">
        <f t="shared" si="88"/>
        <v>0</v>
      </c>
      <c r="AC333" s="232">
        <f t="shared" si="98"/>
        <v>0</v>
      </c>
      <c r="AD333" s="232">
        <f t="shared" si="99"/>
        <v>0</v>
      </c>
      <c r="AE333" s="232">
        <f t="shared" si="100"/>
        <v>0</v>
      </c>
    </row>
    <row r="334" spans="3:31" s="185" customFormat="1" x14ac:dyDescent="0.2">
      <c r="C334" s="128">
        <v>325</v>
      </c>
      <c r="D334" s="186">
        <f t="shared" si="101"/>
        <v>46347</v>
      </c>
      <c r="E334" s="128">
        <f t="shared" si="89"/>
        <v>11</v>
      </c>
      <c r="F334" s="187">
        <f t="shared" si="90"/>
        <v>46347</v>
      </c>
      <c r="G334" s="128">
        <f t="shared" si="91"/>
        <v>47</v>
      </c>
      <c r="H334" s="128">
        <f t="shared" si="92"/>
        <v>21</v>
      </c>
      <c r="I334" s="128">
        <f t="shared" si="93"/>
        <v>6</v>
      </c>
      <c r="J334" s="188">
        <f t="shared" si="94"/>
        <v>46347</v>
      </c>
      <c r="K334" s="128" t="str" cm="1">
        <f t="array" ref="K334">IF(AND(I334&lt;7,INDEX(B_tblFTMatrix,$E334,$H334)="x"),"ft","")</f>
        <v/>
      </c>
      <c r="L334" s="128"/>
      <c r="M334" s="128"/>
      <c r="N334" s="128">
        <f t="shared" si="85"/>
        <v>0</v>
      </c>
      <c r="O334" s="128">
        <f t="shared" si="95"/>
        <v>0</v>
      </c>
      <c r="P334" s="227">
        <f t="shared" si="86"/>
        <v>0</v>
      </c>
      <c r="Q334" s="229" cm="1">
        <f t="array" ref="Q334">SUMPRODUCT((H_tblBGTage=I334)*(H_tblBGMnt=E334)*H_tblBG%)</f>
        <v>0</v>
      </c>
      <c r="R334" s="227">
        <f t="shared" si="96"/>
        <v>0</v>
      </c>
      <c r="S334" s="233"/>
      <c r="T334" s="233"/>
      <c r="U334" s="232" cm="1">
        <f t="array" ref="U334">SUMPRODUCT((NOV!M_Verweiszeile=$H334)*NOV!M_ProdTag*(NOV!M_Monat=$E334))</f>
        <v>0</v>
      </c>
      <c r="V334" s="232" cm="1">
        <f t="array" ref="V334">SUMPRODUCT((NOV!M_Verweiszeile=$H334)*NOV!M_ProdN1*(NOV!M_Monat=$E334))</f>
        <v>0</v>
      </c>
      <c r="W334" s="232" cm="1">
        <f t="array" ref="W334">SUMPRODUCT((NOV!M_Verweiszeile=$H334)*NOV!M_ProdN2*(NOV!M_Monat=$E334))</f>
        <v>0</v>
      </c>
      <c r="X334" s="232" cm="1">
        <f t="array" ref="X334">SUMPRODUCT((NOV!M_Verweiszeile=$H334)*NOV!M_Reise*(NOV!M_Monat=$E334))</f>
        <v>0</v>
      </c>
      <c r="Y334" s="232" cm="1">
        <f t="array" ref="Y334">SUMPRODUCT((NOV!M_Verweiszeile=$H334)*NOV!M_Reiseabzug*(NOV!M_Monat=$E334))</f>
        <v>0</v>
      </c>
      <c r="Z334" s="232">
        <f t="shared" si="97"/>
        <v>0</v>
      </c>
      <c r="AA334" s="232">
        <f t="shared" si="87"/>
        <v>0</v>
      </c>
      <c r="AB334" s="232">
        <f t="shared" si="88"/>
        <v>0</v>
      </c>
      <c r="AC334" s="232">
        <f t="shared" si="98"/>
        <v>0</v>
      </c>
      <c r="AD334" s="232">
        <f t="shared" si="99"/>
        <v>0</v>
      </c>
      <c r="AE334" s="232">
        <f t="shared" si="100"/>
        <v>0</v>
      </c>
    </row>
    <row r="335" spans="3:31" s="185" customFormat="1" x14ac:dyDescent="0.2">
      <c r="C335" s="128">
        <v>326</v>
      </c>
      <c r="D335" s="186">
        <f t="shared" si="101"/>
        <v>46348</v>
      </c>
      <c r="E335" s="128">
        <f t="shared" si="89"/>
        <v>11</v>
      </c>
      <c r="F335" s="187">
        <f t="shared" si="90"/>
        <v>46348</v>
      </c>
      <c r="G335" s="128">
        <f t="shared" si="91"/>
        <v>47</v>
      </c>
      <c r="H335" s="128">
        <f t="shared" si="92"/>
        <v>22</v>
      </c>
      <c r="I335" s="128">
        <f t="shared" si="93"/>
        <v>7</v>
      </c>
      <c r="J335" s="188">
        <f t="shared" si="94"/>
        <v>46348</v>
      </c>
      <c r="K335" s="128" t="str" cm="1">
        <f t="array" ref="K335">IF(AND(I335&lt;7,INDEX(B_tblFTMatrix,$E335,$H335)="x"),"ft","")</f>
        <v/>
      </c>
      <c r="L335" s="128"/>
      <c r="M335" s="128"/>
      <c r="N335" s="128">
        <f t="shared" si="85"/>
        <v>0</v>
      </c>
      <c r="O335" s="128">
        <f t="shared" si="95"/>
        <v>0</v>
      </c>
      <c r="P335" s="227">
        <f t="shared" si="86"/>
        <v>0</v>
      </c>
      <c r="Q335" s="229" cm="1">
        <f t="array" ref="Q335">SUMPRODUCT((H_tblBGTage=I335)*(H_tblBGMnt=E335)*H_tblBG%)</f>
        <v>0</v>
      </c>
      <c r="R335" s="227">
        <f t="shared" si="96"/>
        <v>0</v>
      </c>
      <c r="S335" s="233"/>
      <c r="T335" s="233"/>
      <c r="U335" s="232" cm="1">
        <f t="array" ref="U335">SUMPRODUCT((NOV!M_Verweiszeile=$H335)*NOV!M_ProdTag*(NOV!M_Monat=$E335))</f>
        <v>0</v>
      </c>
      <c r="V335" s="232" cm="1">
        <f t="array" ref="V335">SUMPRODUCT((NOV!M_Verweiszeile=$H335)*NOV!M_ProdN1*(NOV!M_Monat=$E335))</f>
        <v>0</v>
      </c>
      <c r="W335" s="232" cm="1">
        <f t="array" ref="W335">SUMPRODUCT((NOV!M_Verweiszeile=$H335)*NOV!M_ProdN2*(NOV!M_Monat=$E335))</f>
        <v>0</v>
      </c>
      <c r="X335" s="232" cm="1">
        <f t="array" ref="X335">SUMPRODUCT((NOV!M_Verweiszeile=$H335)*NOV!M_Reise*(NOV!M_Monat=$E335))</f>
        <v>0</v>
      </c>
      <c r="Y335" s="232" cm="1">
        <f t="array" ref="Y335">SUMPRODUCT((NOV!M_Verweiszeile=$H335)*NOV!M_Reiseabzug*(NOV!M_Monat=$E335))</f>
        <v>0</v>
      </c>
      <c r="Z335" s="232">
        <f t="shared" si="97"/>
        <v>0</v>
      </c>
      <c r="AA335" s="232">
        <f t="shared" si="87"/>
        <v>0</v>
      </c>
      <c r="AB335" s="232">
        <f t="shared" si="88"/>
        <v>0</v>
      </c>
      <c r="AC335" s="232">
        <f t="shared" si="98"/>
        <v>0</v>
      </c>
      <c r="AD335" s="232">
        <f t="shared" si="99"/>
        <v>0</v>
      </c>
      <c r="AE335" s="232">
        <f t="shared" si="100"/>
        <v>0</v>
      </c>
    </row>
    <row r="336" spans="3:31" s="185" customFormat="1" x14ac:dyDescent="0.2">
      <c r="C336" s="128">
        <v>327</v>
      </c>
      <c r="D336" s="186">
        <f t="shared" si="101"/>
        <v>46349</v>
      </c>
      <c r="E336" s="128">
        <f t="shared" si="89"/>
        <v>11</v>
      </c>
      <c r="F336" s="187">
        <f t="shared" si="90"/>
        <v>46349</v>
      </c>
      <c r="G336" s="128">
        <f t="shared" si="91"/>
        <v>48</v>
      </c>
      <c r="H336" s="128">
        <f t="shared" si="92"/>
        <v>23</v>
      </c>
      <c r="I336" s="128">
        <f t="shared" si="93"/>
        <v>1</v>
      </c>
      <c r="J336" s="188">
        <f t="shared" si="94"/>
        <v>46349</v>
      </c>
      <c r="K336" s="128" t="str" cm="1">
        <f t="array" ref="K336">IF(AND(I336&lt;7,INDEX(B_tblFTMatrix,$E336,$H336)="x"),"ft","")</f>
        <v/>
      </c>
      <c r="L336" s="128"/>
      <c r="M336" s="128"/>
      <c r="N336" s="128">
        <f t="shared" si="85"/>
        <v>1</v>
      </c>
      <c r="O336" s="128">
        <f t="shared" si="95"/>
        <v>1</v>
      </c>
      <c r="P336" s="227">
        <f t="shared" si="86"/>
        <v>8</v>
      </c>
      <c r="Q336" s="229" cm="1">
        <f t="array" ref="Q336">SUMPRODUCT((H_tblBGTage=I336)*(H_tblBGMnt=E336)*H_tblBG%)</f>
        <v>1</v>
      </c>
      <c r="R336" s="227">
        <f t="shared" si="96"/>
        <v>8</v>
      </c>
      <c r="S336" s="233"/>
      <c r="T336" s="233"/>
      <c r="U336" s="232" cm="1">
        <f t="array" ref="U336">SUMPRODUCT((NOV!M_Verweiszeile=$H336)*NOV!M_ProdTag*(NOV!M_Monat=$E336))</f>
        <v>0</v>
      </c>
      <c r="V336" s="232" cm="1">
        <f t="array" ref="V336">SUMPRODUCT((NOV!M_Verweiszeile=$H336)*NOV!M_ProdN1*(NOV!M_Monat=$E336))</f>
        <v>0</v>
      </c>
      <c r="W336" s="232" cm="1">
        <f t="array" ref="W336">SUMPRODUCT((NOV!M_Verweiszeile=$H336)*NOV!M_ProdN2*(NOV!M_Monat=$E336))</f>
        <v>0</v>
      </c>
      <c r="X336" s="232" cm="1">
        <f t="array" ref="X336">SUMPRODUCT((NOV!M_Verweiszeile=$H336)*NOV!M_Reise*(NOV!M_Monat=$E336))</f>
        <v>0</v>
      </c>
      <c r="Y336" s="232" cm="1">
        <f t="array" ref="Y336">SUMPRODUCT((NOV!M_Verweiszeile=$H336)*NOV!M_Reiseabzug*(NOV!M_Monat=$E336))</f>
        <v>0</v>
      </c>
      <c r="Z336" s="232">
        <f t="shared" si="97"/>
        <v>0</v>
      </c>
      <c r="AA336" s="232">
        <f t="shared" si="87"/>
        <v>0</v>
      </c>
      <c r="AB336" s="232">
        <f t="shared" si="88"/>
        <v>0</v>
      </c>
      <c r="AC336" s="232">
        <f t="shared" si="98"/>
        <v>0</v>
      </c>
      <c r="AD336" s="232">
        <f t="shared" si="99"/>
        <v>0</v>
      </c>
      <c r="AE336" s="232">
        <f t="shared" si="100"/>
        <v>0</v>
      </c>
    </row>
    <row r="337" spans="3:31" s="185" customFormat="1" x14ac:dyDescent="0.2">
      <c r="C337" s="128">
        <v>328</v>
      </c>
      <c r="D337" s="186">
        <f t="shared" si="101"/>
        <v>46350</v>
      </c>
      <c r="E337" s="128">
        <f t="shared" si="89"/>
        <v>11</v>
      </c>
      <c r="F337" s="187">
        <f t="shared" si="90"/>
        <v>46350</v>
      </c>
      <c r="G337" s="128">
        <f t="shared" si="91"/>
        <v>48</v>
      </c>
      <c r="H337" s="128">
        <f t="shared" si="92"/>
        <v>24</v>
      </c>
      <c r="I337" s="128">
        <f t="shared" si="93"/>
        <v>2</v>
      </c>
      <c r="J337" s="188">
        <f t="shared" si="94"/>
        <v>46350</v>
      </c>
      <c r="K337" s="128" t="str" cm="1">
        <f t="array" ref="K337">IF(AND(I337&lt;7,INDEX(B_tblFTMatrix,$E337,$H337)="x"),"ft","")</f>
        <v/>
      </c>
      <c r="L337" s="128"/>
      <c r="M337" s="128"/>
      <c r="N337" s="128">
        <f t="shared" si="85"/>
        <v>1</v>
      </c>
      <c r="O337" s="128">
        <f t="shared" si="95"/>
        <v>1</v>
      </c>
      <c r="P337" s="227">
        <f t="shared" si="86"/>
        <v>8</v>
      </c>
      <c r="Q337" s="229" cm="1">
        <f t="array" ref="Q337">SUMPRODUCT((H_tblBGTage=I337)*(H_tblBGMnt=E337)*H_tblBG%)</f>
        <v>1</v>
      </c>
      <c r="R337" s="227">
        <f t="shared" si="96"/>
        <v>8</v>
      </c>
      <c r="S337" s="233"/>
      <c r="T337" s="233"/>
      <c r="U337" s="232" cm="1">
        <f t="array" ref="U337">SUMPRODUCT((NOV!M_Verweiszeile=$H337)*NOV!M_ProdTag*(NOV!M_Monat=$E337))</f>
        <v>0</v>
      </c>
      <c r="V337" s="232" cm="1">
        <f t="array" ref="V337">SUMPRODUCT((NOV!M_Verweiszeile=$H337)*NOV!M_ProdN1*(NOV!M_Monat=$E337))</f>
        <v>0</v>
      </c>
      <c r="W337" s="232" cm="1">
        <f t="array" ref="W337">SUMPRODUCT((NOV!M_Verweiszeile=$H337)*NOV!M_ProdN2*(NOV!M_Monat=$E337))</f>
        <v>0</v>
      </c>
      <c r="X337" s="232" cm="1">
        <f t="array" ref="X337">SUMPRODUCT((NOV!M_Verweiszeile=$H337)*NOV!M_Reise*(NOV!M_Monat=$E337))</f>
        <v>0</v>
      </c>
      <c r="Y337" s="232" cm="1">
        <f t="array" ref="Y337">SUMPRODUCT((NOV!M_Verweiszeile=$H337)*NOV!M_Reiseabzug*(NOV!M_Monat=$E337))</f>
        <v>0</v>
      </c>
      <c r="Z337" s="232">
        <f t="shared" si="97"/>
        <v>0</v>
      </c>
      <c r="AA337" s="232">
        <f t="shared" si="87"/>
        <v>0</v>
      </c>
      <c r="AB337" s="232">
        <f t="shared" si="88"/>
        <v>0</v>
      </c>
      <c r="AC337" s="232">
        <f t="shared" si="98"/>
        <v>0</v>
      </c>
      <c r="AD337" s="232">
        <f t="shared" si="99"/>
        <v>0</v>
      </c>
      <c r="AE337" s="232">
        <f t="shared" si="100"/>
        <v>0</v>
      </c>
    </row>
    <row r="338" spans="3:31" s="185" customFormat="1" x14ac:dyDescent="0.2">
      <c r="C338" s="128">
        <v>329</v>
      </c>
      <c r="D338" s="186">
        <f t="shared" si="101"/>
        <v>46351</v>
      </c>
      <c r="E338" s="128">
        <f t="shared" si="89"/>
        <v>11</v>
      </c>
      <c r="F338" s="187">
        <f t="shared" si="90"/>
        <v>46351</v>
      </c>
      <c r="G338" s="128">
        <f t="shared" si="91"/>
        <v>48</v>
      </c>
      <c r="H338" s="128">
        <f t="shared" si="92"/>
        <v>25</v>
      </c>
      <c r="I338" s="128">
        <f t="shared" si="93"/>
        <v>3</v>
      </c>
      <c r="J338" s="188">
        <f t="shared" si="94"/>
        <v>46351</v>
      </c>
      <c r="K338" s="128" t="str" cm="1">
        <f t="array" ref="K338">IF(AND(I338&lt;7,INDEX(B_tblFTMatrix,$E338,$H338)="x"),"ft","")</f>
        <v/>
      </c>
      <c r="L338" s="128"/>
      <c r="M338" s="128"/>
      <c r="N338" s="128">
        <f t="shared" si="85"/>
        <v>1</v>
      </c>
      <c r="O338" s="128">
        <f t="shared" si="95"/>
        <v>1</v>
      </c>
      <c r="P338" s="227">
        <f t="shared" si="86"/>
        <v>8</v>
      </c>
      <c r="Q338" s="229" cm="1">
        <f t="array" ref="Q338">SUMPRODUCT((H_tblBGTage=I338)*(H_tblBGMnt=E338)*H_tblBG%)</f>
        <v>1</v>
      </c>
      <c r="R338" s="227">
        <f t="shared" si="96"/>
        <v>8</v>
      </c>
      <c r="S338" s="233"/>
      <c r="T338" s="233"/>
      <c r="U338" s="232" cm="1">
        <f t="array" ref="U338">SUMPRODUCT((NOV!M_Verweiszeile=$H338)*NOV!M_ProdTag*(NOV!M_Monat=$E338))</f>
        <v>0</v>
      </c>
      <c r="V338" s="232" cm="1">
        <f t="array" ref="V338">SUMPRODUCT((NOV!M_Verweiszeile=$H338)*NOV!M_ProdN1*(NOV!M_Monat=$E338))</f>
        <v>0</v>
      </c>
      <c r="W338" s="232" cm="1">
        <f t="array" ref="W338">SUMPRODUCT((NOV!M_Verweiszeile=$H338)*NOV!M_ProdN2*(NOV!M_Monat=$E338))</f>
        <v>0</v>
      </c>
      <c r="X338" s="232" cm="1">
        <f t="array" ref="X338">SUMPRODUCT((NOV!M_Verweiszeile=$H338)*NOV!M_Reise*(NOV!M_Monat=$E338))</f>
        <v>0</v>
      </c>
      <c r="Y338" s="232" cm="1">
        <f t="array" ref="Y338">SUMPRODUCT((NOV!M_Verweiszeile=$H338)*NOV!M_Reiseabzug*(NOV!M_Monat=$E338))</f>
        <v>0</v>
      </c>
      <c r="Z338" s="232">
        <f t="shared" si="97"/>
        <v>0</v>
      </c>
      <c r="AA338" s="232">
        <f t="shared" si="87"/>
        <v>0</v>
      </c>
      <c r="AB338" s="232">
        <f t="shared" si="88"/>
        <v>0</v>
      </c>
      <c r="AC338" s="232">
        <f t="shared" si="98"/>
        <v>0</v>
      </c>
      <c r="AD338" s="232">
        <f t="shared" si="99"/>
        <v>0</v>
      </c>
      <c r="AE338" s="232">
        <f t="shared" si="100"/>
        <v>0</v>
      </c>
    </row>
    <row r="339" spans="3:31" s="185" customFormat="1" x14ac:dyDescent="0.2">
      <c r="C339" s="128">
        <v>330</v>
      </c>
      <c r="D339" s="186">
        <f t="shared" si="101"/>
        <v>46352</v>
      </c>
      <c r="E339" s="128">
        <f t="shared" si="89"/>
        <v>11</v>
      </c>
      <c r="F339" s="187">
        <f t="shared" si="90"/>
        <v>46352</v>
      </c>
      <c r="G339" s="128">
        <f t="shared" si="91"/>
        <v>48</v>
      </c>
      <c r="H339" s="128">
        <f t="shared" si="92"/>
        <v>26</v>
      </c>
      <c r="I339" s="128">
        <f t="shared" si="93"/>
        <v>4</v>
      </c>
      <c r="J339" s="188">
        <f t="shared" si="94"/>
        <v>46352</v>
      </c>
      <c r="K339" s="128" t="str" cm="1">
        <f t="array" ref="K339">IF(AND(I339&lt;7,INDEX(B_tblFTMatrix,$E339,$H339)="x"),"ft","")</f>
        <v/>
      </c>
      <c r="L339" s="128"/>
      <c r="M339" s="128"/>
      <c r="N339" s="128">
        <f t="shared" si="85"/>
        <v>1</v>
      </c>
      <c r="O339" s="128">
        <f t="shared" si="95"/>
        <v>1</v>
      </c>
      <c r="P339" s="227">
        <f t="shared" si="86"/>
        <v>8</v>
      </c>
      <c r="Q339" s="229" cm="1">
        <f t="array" ref="Q339">SUMPRODUCT((H_tblBGTage=I339)*(H_tblBGMnt=E339)*H_tblBG%)</f>
        <v>1</v>
      </c>
      <c r="R339" s="227">
        <f t="shared" si="96"/>
        <v>8</v>
      </c>
      <c r="S339" s="233"/>
      <c r="T339" s="233"/>
      <c r="U339" s="232" cm="1">
        <f t="array" ref="U339">SUMPRODUCT((NOV!M_Verweiszeile=$H339)*NOV!M_ProdTag*(NOV!M_Monat=$E339))</f>
        <v>0</v>
      </c>
      <c r="V339" s="232" cm="1">
        <f t="array" ref="V339">SUMPRODUCT((NOV!M_Verweiszeile=$H339)*NOV!M_ProdN1*(NOV!M_Monat=$E339))</f>
        <v>0</v>
      </c>
      <c r="W339" s="232" cm="1">
        <f t="array" ref="W339">SUMPRODUCT((NOV!M_Verweiszeile=$H339)*NOV!M_ProdN2*(NOV!M_Monat=$E339))</f>
        <v>0</v>
      </c>
      <c r="X339" s="232" cm="1">
        <f t="array" ref="X339">SUMPRODUCT((NOV!M_Verweiszeile=$H339)*NOV!M_Reise*(NOV!M_Monat=$E339))</f>
        <v>0</v>
      </c>
      <c r="Y339" s="232" cm="1">
        <f t="array" ref="Y339">SUMPRODUCT((NOV!M_Verweiszeile=$H339)*NOV!M_Reiseabzug*(NOV!M_Monat=$E339))</f>
        <v>0</v>
      </c>
      <c r="Z339" s="232">
        <f t="shared" si="97"/>
        <v>0</v>
      </c>
      <c r="AA339" s="232">
        <f t="shared" si="87"/>
        <v>0</v>
      </c>
      <c r="AB339" s="232">
        <f t="shared" si="88"/>
        <v>0</v>
      </c>
      <c r="AC339" s="232">
        <f t="shared" si="98"/>
        <v>0</v>
      </c>
      <c r="AD339" s="232">
        <f t="shared" si="99"/>
        <v>0</v>
      </c>
      <c r="AE339" s="232">
        <f t="shared" si="100"/>
        <v>0</v>
      </c>
    </row>
    <row r="340" spans="3:31" s="185" customFormat="1" x14ac:dyDescent="0.2">
      <c r="C340" s="128">
        <v>331</v>
      </c>
      <c r="D340" s="186">
        <f t="shared" si="101"/>
        <v>46353</v>
      </c>
      <c r="E340" s="128">
        <f t="shared" si="89"/>
        <v>11</v>
      </c>
      <c r="F340" s="187">
        <f t="shared" si="90"/>
        <v>46353</v>
      </c>
      <c r="G340" s="128">
        <f t="shared" si="91"/>
        <v>48</v>
      </c>
      <c r="H340" s="128">
        <f t="shared" si="92"/>
        <v>27</v>
      </c>
      <c r="I340" s="128">
        <f t="shared" si="93"/>
        <v>5</v>
      </c>
      <c r="J340" s="188">
        <f t="shared" si="94"/>
        <v>46353</v>
      </c>
      <c r="K340" s="128" t="str" cm="1">
        <f t="array" ref="K340">IF(AND(I340&lt;7,INDEX(B_tblFTMatrix,$E340,$H340)="x"),"ft","")</f>
        <v/>
      </c>
      <c r="L340" s="128"/>
      <c r="M340" s="128"/>
      <c r="N340" s="128">
        <f t="shared" si="85"/>
        <v>1</v>
      </c>
      <c r="O340" s="128">
        <f t="shared" si="95"/>
        <v>1</v>
      </c>
      <c r="P340" s="227">
        <f t="shared" si="86"/>
        <v>8</v>
      </c>
      <c r="Q340" s="229" cm="1">
        <f t="array" ref="Q340">SUMPRODUCT((H_tblBGTage=I340)*(H_tblBGMnt=E340)*H_tblBG%)</f>
        <v>1</v>
      </c>
      <c r="R340" s="227">
        <f t="shared" si="96"/>
        <v>8</v>
      </c>
      <c r="S340" s="233"/>
      <c r="T340" s="233"/>
      <c r="U340" s="232" cm="1">
        <f t="array" ref="U340">SUMPRODUCT((NOV!M_Verweiszeile=$H340)*NOV!M_ProdTag*(NOV!M_Monat=$E340))</f>
        <v>0</v>
      </c>
      <c r="V340" s="232" cm="1">
        <f t="array" ref="V340">SUMPRODUCT((NOV!M_Verweiszeile=$H340)*NOV!M_ProdN1*(NOV!M_Monat=$E340))</f>
        <v>0</v>
      </c>
      <c r="W340" s="232" cm="1">
        <f t="array" ref="W340">SUMPRODUCT((NOV!M_Verweiszeile=$H340)*NOV!M_ProdN2*(NOV!M_Monat=$E340))</f>
        <v>0</v>
      </c>
      <c r="X340" s="232" cm="1">
        <f t="array" ref="X340">SUMPRODUCT((NOV!M_Verweiszeile=$H340)*NOV!M_Reise*(NOV!M_Monat=$E340))</f>
        <v>0</v>
      </c>
      <c r="Y340" s="232" cm="1">
        <f t="array" ref="Y340">SUMPRODUCT((NOV!M_Verweiszeile=$H340)*NOV!M_Reiseabzug*(NOV!M_Monat=$E340))</f>
        <v>0</v>
      </c>
      <c r="Z340" s="232">
        <f t="shared" si="97"/>
        <v>0</v>
      </c>
      <c r="AA340" s="232">
        <f t="shared" si="87"/>
        <v>0</v>
      </c>
      <c r="AB340" s="232">
        <f t="shared" si="88"/>
        <v>0</v>
      </c>
      <c r="AC340" s="232">
        <f t="shared" si="98"/>
        <v>0</v>
      </c>
      <c r="AD340" s="232">
        <f t="shared" si="99"/>
        <v>0</v>
      </c>
      <c r="AE340" s="232">
        <f t="shared" si="100"/>
        <v>0</v>
      </c>
    </row>
    <row r="341" spans="3:31" s="185" customFormat="1" x14ac:dyDescent="0.2">
      <c r="C341" s="128">
        <v>332</v>
      </c>
      <c r="D341" s="186">
        <f t="shared" si="101"/>
        <v>46354</v>
      </c>
      <c r="E341" s="128">
        <f t="shared" si="89"/>
        <v>11</v>
      </c>
      <c r="F341" s="187">
        <f t="shared" si="90"/>
        <v>46354</v>
      </c>
      <c r="G341" s="128">
        <f t="shared" si="91"/>
        <v>48</v>
      </c>
      <c r="H341" s="128">
        <f t="shared" si="92"/>
        <v>28</v>
      </c>
      <c r="I341" s="128">
        <f t="shared" si="93"/>
        <v>6</v>
      </c>
      <c r="J341" s="188">
        <f t="shared" si="94"/>
        <v>46354</v>
      </c>
      <c r="K341" s="128" t="str" cm="1">
        <f t="array" ref="K341">IF(AND(I341&lt;7,INDEX(B_tblFTMatrix,$E341,$H341)="x"),"ft","")</f>
        <v/>
      </c>
      <c r="L341" s="128"/>
      <c r="M341" s="128"/>
      <c r="N341" s="128">
        <f t="shared" si="85"/>
        <v>0</v>
      </c>
      <c r="O341" s="128">
        <f t="shared" si="95"/>
        <v>0</v>
      </c>
      <c r="P341" s="227">
        <f t="shared" si="86"/>
        <v>0</v>
      </c>
      <c r="Q341" s="229" cm="1">
        <f t="array" ref="Q341">SUMPRODUCT((H_tblBGTage=I341)*(H_tblBGMnt=E341)*H_tblBG%)</f>
        <v>0</v>
      </c>
      <c r="R341" s="227">
        <f t="shared" si="96"/>
        <v>0</v>
      </c>
      <c r="S341" s="233"/>
      <c r="T341" s="233"/>
      <c r="U341" s="232" cm="1">
        <f t="array" ref="U341">SUMPRODUCT((NOV!M_Verweiszeile=$H341)*NOV!M_ProdTag*(NOV!M_Monat=$E341))</f>
        <v>0</v>
      </c>
      <c r="V341" s="232" cm="1">
        <f t="array" ref="V341">SUMPRODUCT((NOV!M_Verweiszeile=$H341)*NOV!M_ProdN1*(NOV!M_Monat=$E341))</f>
        <v>0</v>
      </c>
      <c r="W341" s="232" cm="1">
        <f t="array" ref="W341">SUMPRODUCT((NOV!M_Verweiszeile=$H341)*NOV!M_ProdN2*(NOV!M_Monat=$E341))</f>
        <v>0</v>
      </c>
      <c r="X341" s="232" cm="1">
        <f t="array" ref="X341">SUMPRODUCT((NOV!M_Verweiszeile=$H341)*NOV!M_Reise*(NOV!M_Monat=$E341))</f>
        <v>0</v>
      </c>
      <c r="Y341" s="232" cm="1">
        <f t="array" ref="Y341">SUMPRODUCT((NOV!M_Verweiszeile=$H341)*NOV!M_Reiseabzug*(NOV!M_Monat=$E341))</f>
        <v>0</v>
      </c>
      <c r="Z341" s="232">
        <f t="shared" si="97"/>
        <v>0</v>
      </c>
      <c r="AA341" s="232">
        <f t="shared" si="87"/>
        <v>0</v>
      </c>
      <c r="AB341" s="232">
        <f t="shared" si="88"/>
        <v>0</v>
      </c>
      <c r="AC341" s="232">
        <f t="shared" si="98"/>
        <v>0</v>
      </c>
      <c r="AD341" s="232">
        <f t="shared" si="99"/>
        <v>0</v>
      </c>
      <c r="AE341" s="232">
        <f t="shared" si="100"/>
        <v>0</v>
      </c>
    </row>
    <row r="342" spans="3:31" s="185" customFormat="1" x14ac:dyDescent="0.2">
      <c r="C342" s="128">
        <v>333</v>
      </c>
      <c r="D342" s="186">
        <f t="shared" si="101"/>
        <v>46355</v>
      </c>
      <c r="E342" s="128">
        <f t="shared" si="89"/>
        <v>11</v>
      </c>
      <c r="F342" s="187">
        <f t="shared" si="90"/>
        <v>46355</v>
      </c>
      <c r="G342" s="128">
        <f t="shared" si="91"/>
        <v>48</v>
      </c>
      <c r="H342" s="128">
        <f t="shared" si="92"/>
        <v>29</v>
      </c>
      <c r="I342" s="128">
        <f t="shared" si="93"/>
        <v>7</v>
      </c>
      <c r="J342" s="188">
        <f t="shared" si="94"/>
        <v>46355</v>
      </c>
      <c r="K342" s="128" t="str" cm="1">
        <f t="array" ref="K342">IF(AND(I342&lt;7,INDEX(B_tblFTMatrix,$E342,$H342)="x"),"ft","")</f>
        <v/>
      </c>
      <c r="L342" s="128"/>
      <c r="M342" s="128"/>
      <c r="N342" s="128">
        <f t="shared" si="85"/>
        <v>0</v>
      </c>
      <c r="O342" s="128">
        <f t="shared" si="95"/>
        <v>0</v>
      </c>
      <c r="P342" s="227">
        <f t="shared" si="86"/>
        <v>0</v>
      </c>
      <c r="Q342" s="229" cm="1">
        <f t="array" ref="Q342">SUMPRODUCT((H_tblBGTage=I342)*(H_tblBGMnt=E342)*H_tblBG%)</f>
        <v>0</v>
      </c>
      <c r="R342" s="227">
        <f t="shared" si="96"/>
        <v>0</v>
      </c>
      <c r="S342" s="233"/>
      <c r="T342" s="233"/>
      <c r="U342" s="232" cm="1">
        <f t="array" ref="U342">SUMPRODUCT((NOV!M_Verweiszeile=$H342)*NOV!M_ProdTag*(NOV!M_Monat=$E342))</f>
        <v>0</v>
      </c>
      <c r="V342" s="232" cm="1">
        <f t="array" ref="V342">SUMPRODUCT((NOV!M_Verweiszeile=$H342)*NOV!M_ProdN1*(NOV!M_Monat=$E342))</f>
        <v>0</v>
      </c>
      <c r="W342" s="232" cm="1">
        <f t="array" ref="W342">SUMPRODUCT((NOV!M_Verweiszeile=$H342)*NOV!M_ProdN2*(NOV!M_Monat=$E342))</f>
        <v>0</v>
      </c>
      <c r="X342" s="232" cm="1">
        <f t="array" ref="X342">SUMPRODUCT((NOV!M_Verweiszeile=$H342)*NOV!M_Reise*(NOV!M_Monat=$E342))</f>
        <v>0</v>
      </c>
      <c r="Y342" s="232" cm="1">
        <f t="array" ref="Y342">SUMPRODUCT((NOV!M_Verweiszeile=$H342)*NOV!M_Reiseabzug*(NOV!M_Monat=$E342))</f>
        <v>0</v>
      </c>
      <c r="Z342" s="232">
        <f t="shared" si="97"/>
        <v>0</v>
      </c>
      <c r="AA342" s="232">
        <f t="shared" si="87"/>
        <v>0</v>
      </c>
      <c r="AB342" s="232">
        <f t="shared" si="88"/>
        <v>0</v>
      </c>
      <c r="AC342" s="232">
        <f t="shared" si="98"/>
        <v>0</v>
      </c>
      <c r="AD342" s="232">
        <f t="shared" si="99"/>
        <v>0</v>
      </c>
      <c r="AE342" s="232">
        <f t="shared" si="100"/>
        <v>0</v>
      </c>
    </row>
    <row r="343" spans="3:31" s="185" customFormat="1" x14ac:dyDescent="0.2">
      <c r="C343" s="128">
        <v>334</v>
      </c>
      <c r="D343" s="186">
        <f t="shared" si="101"/>
        <v>46356</v>
      </c>
      <c r="E343" s="128">
        <f t="shared" si="89"/>
        <v>11</v>
      </c>
      <c r="F343" s="187">
        <f t="shared" si="90"/>
        <v>46356</v>
      </c>
      <c r="G343" s="128">
        <f t="shared" si="91"/>
        <v>49</v>
      </c>
      <c r="H343" s="128">
        <f t="shared" si="92"/>
        <v>30</v>
      </c>
      <c r="I343" s="128">
        <f t="shared" si="93"/>
        <v>1</v>
      </c>
      <c r="J343" s="188">
        <f t="shared" si="94"/>
        <v>46356</v>
      </c>
      <c r="K343" s="128" t="str" cm="1">
        <f t="array" ref="K343">IF(AND(I343&lt;7,INDEX(B_tblFTMatrix,$E343,$H343)="x"),"ft","")</f>
        <v/>
      </c>
      <c r="L343" s="128"/>
      <c r="M343" s="128"/>
      <c r="N343" s="128">
        <f t="shared" si="85"/>
        <v>1</v>
      </c>
      <c r="O343" s="128">
        <f t="shared" si="95"/>
        <v>1</v>
      </c>
      <c r="P343" s="227">
        <f t="shared" si="86"/>
        <v>8</v>
      </c>
      <c r="Q343" s="229" cm="1">
        <f t="array" ref="Q343">SUMPRODUCT((H_tblBGTage=I343)*(H_tblBGMnt=E343)*H_tblBG%)</f>
        <v>1</v>
      </c>
      <c r="R343" s="227">
        <f t="shared" si="96"/>
        <v>8</v>
      </c>
      <c r="S343" s="233"/>
      <c r="T343" s="233"/>
      <c r="U343" s="232" cm="1">
        <f t="array" ref="U343">SUMPRODUCT((NOV!M_Verweiszeile=$H343)*NOV!M_ProdTag*(NOV!M_Monat=$E343))</f>
        <v>0</v>
      </c>
      <c r="V343" s="232" cm="1">
        <f t="array" ref="V343">SUMPRODUCT((NOV!M_Verweiszeile=$H343)*NOV!M_ProdN1*(NOV!M_Monat=$E343))</f>
        <v>0</v>
      </c>
      <c r="W343" s="232" cm="1">
        <f t="array" ref="W343">SUMPRODUCT((NOV!M_Verweiszeile=$H343)*NOV!M_ProdN2*(NOV!M_Monat=$E343))</f>
        <v>0</v>
      </c>
      <c r="X343" s="232" cm="1">
        <f t="array" ref="X343">SUMPRODUCT((NOV!M_Verweiszeile=$H343)*NOV!M_Reise*(NOV!M_Monat=$E343))</f>
        <v>0</v>
      </c>
      <c r="Y343" s="232" cm="1">
        <f t="array" ref="Y343">SUMPRODUCT((NOV!M_Verweiszeile=$H343)*NOV!M_Reiseabzug*(NOV!M_Monat=$E343))</f>
        <v>0</v>
      </c>
      <c r="Z343" s="232">
        <f t="shared" si="97"/>
        <v>0</v>
      </c>
      <c r="AA343" s="232">
        <f t="shared" si="87"/>
        <v>0</v>
      </c>
      <c r="AB343" s="232">
        <f t="shared" si="88"/>
        <v>0</v>
      </c>
      <c r="AC343" s="232">
        <f t="shared" si="98"/>
        <v>0</v>
      </c>
      <c r="AD343" s="232">
        <f t="shared" si="99"/>
        <v>0</v>
      </c>
      <c r="AE343" s="232">
        <f t="shared" si="100"/>
        <v>0</v>
      </c>
    </row>
    <row r="344" spans="3:31" s="185" customFormat="1" x14ac:dyDescent="0.2">
      <c r="C344" s="128">
        <v>335</v>
      </c>
      <c r="D344" s="186">
        <f t="shared" si="101"/>
        <v>46357</v>
      </c>
      <c r="E344" s="128">
        <f t="shared" si="89"/>
        <v>12</v>
      </c>
      <c r="F344" s="187">
        <f t="shared" si="90"/>
        <v>46357</v>
      </c>
      <c r="G344" s="128">
        <f t="shared" si="91"/>
        <v>49</v>
      </c>
      <c r="H344" s="128">
        <f t="shared" si="92"/>
        <v>1</v>
      </c>
      <c r="I344" s="128">
        <f t="shared" si="93"/>
        <v>2</v>
      </c>
      <c r="J344" s="188">
        <f t="shared" si="94"/>
        <v>46357</v>
      </c>
      <c r="K344" s="128" t="str" cm="1">
        <f t="array" ref="K344">IF(AND(I344&lt;7,INDEX(B_tblFTMatrix,$E344,$H344)="x"),"ft","")</f>
        <v/>
      </c>
      <c r="L344" s="128"/>
      <c r="M344" s="128"/>
      <c r="N344" s="128">
        <f t="shared" si="85"/>
        <v>1</v>
      </c>
      <c r="O344" s="128">
        <f t="shared" si="95"/>
        <v>1</v>
      </c>
      <c r="P344" s="227">
        <f t="shared" si="86"/>
        <v>8</v>
      </c>
      <c r="Q344" s="229" cm="1">
        <f t="array" ref="Q344">SUMPRODUCT((H_tblBGTage=I344)*(H_tblBGMnt=E344)*H_tblBG%)</f>
        <v>1</v>
      </c>
      <c r="R344" s="227">
        <f t="shared" si="96"/>
        <v>8</v>
      </c>
      <c r="S344" s="233"/>
      <c r="T344" s="233"/>
      <c r="U344" s="311" cm="1">
        <f t="array" ref="U344">SUMPRODUCT((NOV!M_Verweiszeile=$H344)*NOV!M_ProdTag*(NOV!M_Monat=$E344))+SUMPRODUCT((DEC!M_Verweiszeile=$H344)*DEC!M_ProdTag*(DEC!M_Monat=$E344))</f>
        <v>0</v>
      </c>
      <c r="V344" s="232" cm="1">
        <f t="array" ref="V344">SUMPRODUCT((NOV!M_Verweiszeile=$H344)*NOV!M_ProdN1*(NOV!M_Monat=$E344))+SUMPRODUCT((DEC!M_Verweiszeile=$H344)*DEC!M_ProdN1*(DEC!M_Monat=$E344))</f>
        <v>0</v>
      </c>
      <c r="W344" s="232" cm="1">
        <f t="array" ref="W344">SUMPRODUCT((NOV!M_Verweiszeile=$H344)*NOV!M_ProdN2*(NOV!M_Monat=$E344))+SUMPRODUCT((DEC!M_Verweiszeile=$H344)*DEC!M_ProdN2*(DEC!M_Monat=$E344))</f>
        <v>0</v>
      </c>
      <c r="X344" s="232" cm="1">
        <f t="array" ref="X344">SUMPRODUCT((NOV!M_Verweiszeile=$H344)*NOV!M_Reise*(NOV!M_Monat=$E344))+SUMPRODUCT((DEC!M_Verweiszeile=$H344)*DEC!M_Reise*(DEC!M_Monat=$E344))</f>
        <v>0</v>
      </c>
      <c r="Y344" s="232" cm="1">
        <f t="array" ref="Y344">SUMPRODUCT((NOV!M_Verweiszeile=$H344)*NOV!M_Reiseabzug*(NOV!M_Monat=$E344))+SUMPRODUCT((DEC!M_Verweiszeile=$H344)*DEC!M_Reiseabzug*(DEC!M_Monat=$E344))</f>
        <v>0</v>
      </c>
      <c r="Z344" s="232">
        <f t="shared" si="97"/>
        <v>0</v>
      </c>
      <c r="AA344" s="232">
        <f t="shared" si="87"/>
        <v>0</v>
      </c>
      <c r="AB344" s="232">
        <f t="shared" si="88"/>
        <v>0</v>
      </c>
      <c r="AC344" s="232">
        <f t="shared" si="98"/>
        <v>0</v>
      </c>
      <c r="AD344" s="232">
        <f t="shared" si="99"/>
        <v>0</v>
      </c>
      <c r="AE344" s="232">
        <f t="shared" si="100"/>
        <v>0</v>
      </c>
    </row>
    <row r="345" spans="3:31" s="185" customFormat="1" x14ac:dyDescent="0.2">
      <c r="C345" s="128">
        <v>336</v>
      </c>
      <c r="D345" s="186">
        <f t="shared" si="101"/>
        <v>46358</v>
      </c>
      <c r="E345" s="128">
        <f t="shared" si="89"/>
        <v>12</v>
      </c>
      <c r="F345" s="187">
        <f t="shared" si="90"/>
        <v>46358</v>
      </c>
      <c r="G345" s="128">
        <f t="shared" si="91"/>
        <v>49</v>
      </c>
      <c r="H345" s="128">
        <f t="shared" si="92"/>
        <v>2</v>
      </c>
      <c r="I345" s="128">
        <f t="shared" si="93"/>
        <v>3</v>
      </c>
      <c r="J345" s="188">
        <f t="shared" si="94"/>
        <v>46358</v>
      </c>
      <c r="K345" s="128" t="str" cm="1">
        <f t="array" ref="K345">IF(AND(I345&lt;7,INDEX(B_tblFTMatrix,$E345,$H345)="x"),"ft","")</f>
        <v/>
      </c>
      <c r="L345" s="128"/>
      <c r="M345" s="128"/>
      <c r="N345" s="128">
        <f t="shared" si="85"/>
        <v>1</v>
      </c>
      <c r="O345" s="128">
        <f t="shared" si="95"/>
        <v>1</v>
      </c>
      <c r="P345" s="227">
        <f t="shared" si="86"/>
        <v>8</v>
      </c>
      <c r="Q345" s="229" cm="1">
        <f t="array" ref="Q345">SUMPRODUCT((H_tblBGTage=I345)*(H_tblBGMnt=E345)*H_tblBG%)</f>
        <v>1</v>
      </c>
      <c r="R345" s="227">
        <f t="shared" si="96"/>
        <v>8</v>
      </c>
      <c r="S345" s="233"/>
      <c r="T345" s="233"/>
      <c r="U345" s="311" cm="1">
        <f t="array" ref="U345">SUMPRODUCT((DEC!M_Verweiszeile=$H345)*DEC!M_ProdTag*(DEC!M_Monat=$E345))</f>
        <v>0</v>
      </c>
      <c r="V345" s="232" cm="1">
        <f t="array" ref="V345">SUMPRODUCT((DEC!M_Verweiszeile=$H345)*DEC!M_ProdN1*(DEC!M_Monat=$E345))</f>
        <v>0</v>
      </c>
      <c r="W345" s="232" cm="1">
        <f t="array" ref="W345">SUMPRODUCT((DEC!M_Verweiszeile=$H345)*DEC!M_ProdN2*(DEC!M_Monat=$E345))</f>
        <v>0</v>
      </c>
      <c r="X345" s="232" cm="1">
        <f t="array" ref="X345">SUMPRODUCT((DEC!M_Verweiszeile=$H345)*DEC!M_Reise*(DEC!M_Monat=$E345))</f>
        <v>0</v>
      </c>
      <c r="Y345" s="232" cm="1">
        <f t="array" ref="Y345">SUMPRODUCT((DEC!M_Verweiszeile=$H345)*DEC!M_Reiseabzug*(DEC!M_Monat=$E345))</f>
        <v>0</v>
      </c>
      <c r="Z345" s="232">
        <f t="shared" si="97"/>
        <v>0</v>
      </c>
      <c r="AA345" s="232">
        <f t="shared" si="87"/>
        <v>0</v>
      </c>
      <c r="AB345" s="232">
        <f t="shared" si="88"/>
        <v>0</v>
      </c>
      <c r="AC345" s="232">
        <f t="shared" si="98"/>
        <v>0</v>
      </c>
      <c r="AD345" s="232">
        <f t="shared" si="99"/>
        <v>0</v>
      </c>
      <c r="AE345" s="232">
        <f t="shared" si="100"/>
        <v>0</v>
      </c>
    </row>
    <row r="346" spans="3:31" s="185" customFormat="1" x14ac:dyDescent="0.2">
      <c r="C346" s="128">
        <v>337</v>
      </c>
      <c r="D346" s="186">
        <f t="shared" si="101"/>
        <v>46359</v>
      </c>
      <c r="E346" s="128">
        <f t="shared" si="89"/>
        <v>12</v>
      </c>
      <c r="F346" s="187">
        <f t="shared" si="90"/>
        <v>46359</v>
      </c>
      <c r="G346" s="128">
        <f t="shared" si="91"/>
        <v>49</v>
      </c>
      <c r="H346" s="128">
        <f t="shared" si="92"/>
        <v>3</v>
      </c>
      <c r="I346" s="128">
        <f t="shared" si="93"/>
        <v>4</v>
      </c>
      <c r="J346" s="188">
        <f t="shared" si="94"/>
        <v>46359</v>
      </c>
      <c r="K346" s="128" t="str" cm="1">
        <f t="array" ref="K346">IF(AND(I346&lt;7,INDEX(B_tblFTMatrix,$E346,$H346)="x"),"ft","")</f>
        <v/>
      </c>
      <c r="L346" s="128"/>
      <c r="M346" s="128"/>
      <c r="N346" s="128">
        <f t="shared" si="85"/>
        <v>1</v>
      </c>
      <c r="O346" s="128">
        <f t="shared" si="95"/>
        <v>1</v>
      </c>
      <c r="P346" s="227">
        <f t="shared" si="86"/>
        <v>8</v>
      </c>
      <c r="Q346" s="229" cm="1">
        <f t="array" ref="Q346">SUMPRODUCT((H_tblBGTage=I346)*(H_tblBGMnt=E346)*H_tblBG%)</f>
        <v>1</v>
      </c>
      <c r="R346" s="227">
        <f t="shared" si="96"/>
        <v>8</v>
      </c>
      <c r="S346" s="233"/>
      <c r="T346" s="233"/>
      <c r="U346" s="232" cm="1">
        <f t="array" ref="U346">SUMPRODUCT((DEC!M_Verweiszeile=$H346)*DEC!M_ProdTag*(DEC!M_Monat=$E346))</f>
        <v>0</v>
      </c>
      <c r="V346" s="232" cm="1">
        <f t="array" ref="V346">SUMPRODUCT((DEC!M_Verweiszeile=$H346)*DEC!M_ProdN1*(DEC!M_Monat=$E346))</f>
        <v>0</v>
      </c>
      <c r="W346" s="232" cm="1">
        <f t="array" ref="W346">SUMPRODUCT((DEC!M_Verweiszeile=$H346)*DEC!M_ProdN2*(DEC!M_Monat=$E346))</f>
        <v>0</v>
      </c>
      <c r="X346" s="232" cm="1">
        <f t="array" ref="X346">SUMPRODUCT((DEC!M_Verweiszeile=$H346)*DEC!M_Reise*(DEC!M_Monat=$E346))</f>
        <v>0</v>
      </c>
      <c r="Y346" s="232" cm="1">
        <f t="array" ref="Y346">SUMPRODUCT((DEC!M_Verweiszeile=$H346)*DEC!M_Reiseabzug*(DEC!M_Monat=$E346))</f>
        <v>0</v>
      </c>
      <c r="Z346" s="232">
        <f t="shared" si="97"/>
        <v>0</v>
      </c>
      <c r="AA346" s="232">
        <f t="shared" si="87"/>
        <v>0</v>
      </c>
      <c r="AB346" s="232">
        <f t="shared" si="88"/>
        <v>0</v>
      </c>
      <c r="AC346" s="232">
        <f t="shared" si="98"/>
        <v>0</v>
      </c>
      <c r="AD346" s="232">
        <f t="shared" si="99"/>
        <v>0</v>
      </c>
      <c r="AE346" s="232">
        <f t="shared" si="100"/>
        <v>0</v>
      </c>
    </row>
    <row r="347" spans="3:31" s="185" customFormat="1" x14ac:dyDescent="0.2">
      <c r="C347" s="128">
        <v>338</v>
      </c>
      <c r="D347" s="186">
        <f t="shared" si="101"/>
        <v>46360</v>
      </c>
      <c r="E347" s="128">
        <f t="shared" si="89"/>
        <v>12</v>
      </c>
      <c r="F347" s="187">
        <f t="shared" si="90"/>
        <v>46360</v>
      </c>
      <c r="G347" s="128">
        <f t="shared" si="91"/>
        <v>49</v>
      </c>
      <c r="H347" s="128">
        <f t="shared" si="92"/>
        <v>4</v>
      </c>
      <c r="I347" s="128">
        <f t="shared" si="93"/>
        <v>5</v>
      </c>
      <c r="J347" s="188">
        <f t="shared" si="94"/>
        <v>46360</v>
      </c>
      <c r="K347" s="128" t="str" cm="1">
        <f t="array" ref="K347">IF(AND(I347&lt;7,INDEX(B_tblFTMatrix,$E347,$H347)="x"),"ft","")</f>
        <v/>
      </c>
      <c r="L347" s="128"/>
      <c r="M347" s="128"/>
      <c r="N347" s="128">
        <f t="shared" si="85"/>
        <v>1</v>
      </c>
      <c r="O347" s="128">
        <f t="shared" si="95"/>
        <v>1</v>
      </c>
      <c r="P347" s="227">
        <f t="shared" si="86"/>
        <v>8</v>
      </c>
      <c r="Q347" s="229" cm="1">
        <f t="array" ref="Q347">SUMPRODUCT((H_tblBGTage=I347)*(H_tblBGMnt=E347)*H_tblBG%)</f>
        <v>1</v>
      </c>
      <c r="R347" s="227">
        <f t="shared" si="96"/>
        <v>8</v>
      </c>
      <c r="S347" s="233"/>
      <c r="T347" s="233"/>
      <c r="U347" s="232" cm="1">
        <f t="array" ref="U347">SUMPRODUCT((DEC!M_Verweiszeile=$H347)*DEC!M_ProdTag*(DEC!M_Monat=$E347))</f>
        <v>0</v>
      </c>
      <c r="V347" s="232" cm="1">
        <f t="array" ref="V347">SUMPRODUCT((DEC!M_Verweiszeile=$H347)*DEC!M_ProdN1*(DEC!M_Monat=$E347))</f>
        <v>0</v>
      </c>
      <c r="W347" s="232" cm="1">
        <f t="array" ref="W347">SUMPRODUCT((DEC!M_Verweiszeile=$H347)*DEC!M_ProdN2*(DEC!M_Monat=$E347))</f>
        <v>0</v>
      </c>
      <c r="X347" s="232" cm="1">
        <f t="array" ref="X347">SUMPRODUCT((DEC!M_Verweiszeile=$H347)*DEC!M_Reise*(DEC!M_Monat=$E347))</f>
        <v>0</v>
      </c>
      <c r="Y347" s="232" cm="1">
        <f t="array" ref="Y347">SUMPRODUCT((DEC!M_Verweiszeile=$H347)*DEC!M_Reiseabzug*(DEC!M_Monat=$E347))</f>
        <v>0</v>
      </c>
      <c r="Z347" s="232">
        <f t="shared" si="97"/>
        <v>0</v>
      </c>
      <c r="AA347" s="232">
        <f t="shared" si="87"/>
        <v>0</v>
      </c>
      <c r="AB347" s="232">
        <f t="shared" si="88"/>
        <v>0</v>
      </c>
      <c r="AC347" s="232">
        <f t="shared" si="98"/>
        <v>0</v>
      </c>
      <c r="AD347" s="232">
        <f t="shared" si="99"/>
        <v>0</v>
      </c>
      <c r="AE347" s="232">
        <f t="shared" si="100"/>
        <v>0</v>
      </c>
    </row>
    <row r="348" spans="3:31" s="185" customFormat="1" x14ac:dyDescent="0.2">
      <c r="C348" s="128">
        <v>339</v>
      </c>
      <c r="D348" s="186">
        <f t="shared" si="101"/>
        <v>46361</v>
      </c>
      <c r="E348" s="128">
        <f t="shared" si="89"/>
        <v>12</v>
      </c>
      <c r="F348" s="187">
        <f t="shared" si="90"/>
        <v>46361</v>
      </c>
      <c r="G348" s="128">
        <f t="shared" si="91"/>
        <v>49</v>
      </c>
      <c r="H348" s="128">
        <f t="shared" si="92"/>
        <v>5</v>
      </c>
      <c r="I348" s="128">
        <f t="shared" si="93"/>
        <v>6</v>
      </c>
      <c r="J348" s="188">
        <f t="shared" si="94"/>
        <v>46361</v>
      </c>
      <c r="K348" s="128" t="str" cm="1">
        <f t="array" ref="K348">IF(AND(I348&lt;7,INDEX(B_tblFTMatrix,$E348,$H348)="x"),"ft","")</f>
        <v/>
      </c>
      <c r="L348" s="128"/>
      <c r="M348" s="128"/>
      <c r="N348" s="128">
        <f t="shared" si="85"/>
        <v>0</v>
      </c>
      <c r="O348" s="128">
        <f t="shared" si="95"/>
        <v>0</v>
      </c>
      <c r="P348" s="227">
        <f t="shared" si="86"/>
        <v>0</v>
      </c>
      <c r="Q348" s="229" cm="1">
        <f t="array" ref="Q348">SUMPRODUCT((H_tblBGTage=I348)*(H_tblBGMnt=E348)*H_tblBG%)</f>
        <v>0</v>
      </c>
      <c r="R348" s="227">
        <f t="shared" si="96"/>
        <v>0</v>
      </c>
      <c r="S348" s="233"/>
      <c r="T348" s="233"/>
      <c r="U348" s="232" cm="1">
        <f t="array" ref="U348">SUMPRODUCT((DEC!M_Verweiszeile=$H348)*DEC!M_ProdTag*(DEC!M_Monat=$E348))</f>
        <v>0</v>
      </c>
      <c r="V348" s="232" cm="1">
        <f t="array" ref="V348">SUMPRODUCT((DEC!M_Verweiszeile=$H348)*DEC!M_ProdN1*(DEC!M_Monat=$E348))</f>
        <v>0</v>
      </c>
      <c r="W348" s="232" cm="1">
        <f t="array" ref="W348">SUMPRODUCT((DEC!M_Verweiszeile=$H348)*DEC!M_ProdN2*(DEC!M_Monat=$E348))</f>
        <v>0</v>
      </c>
      <c r="X348" s="232" cm="1">
        <f t="array" ref="X348">SUMPRODUCT((DEC!M_Verweiszeile=$H348)*DEC!M_Reise*(DEC!M_Monat=$E348))</f>
        <v>0</v>
      </c>
      <c r="Y348" s="232" cm="1">
        <f t="array" ref="Y348">SUMPRODUCT((DEC!M_Verweiszeile=$H348)*DEC!M_Reiseabzug*(DEC!M_Monat=$E348))</f>
        <v>0</v>
      </c>
      <c r="Z348" s="232">
        <f t="shared" si="97"/>
        <v>0</v>
      </c>
      <c r="AA348" s="232">
        <f t="shared" si="87"/>
        <v>0</v>
      </c>
      <c r="AB348" s="232">
        <f t="shared" si="88"/>
        <v>0</v>
      </c>
      <c r="AC348" s="232">
        <f t="shared" si="98"/>
        <v>0</v>
      </c>
      <c r="AD348" s="232">
        <f t="shared" si="99"/>
        <v>0</v>
      </c>
      <c r="AE348" s="232">
        <f t="shared" si="100"/>
        <v>0</v>
      </c>
    </row>
    <row r="349" spans="3:31" s="185" customFormat="1" x14ac:dyDescent="0.2">
      <c r="C349" s="128">
        <v>340</v>
      </c>
      <c r="D349" s="186">
        <f t="shared" si="101"/>
        <v>46362</v>
      </c>
      <c r="E349" s="128">
        <f t="shared" si="89"/>
        <v>12</v>
      </c>
      <c r="F349" s="187">
        <f t="shared" si="90"/>
        <v>46362</v>
      </c>
      <c r="G349" s="128">
        <f t="shared" si="91"/>
        <v>49</v>
      </c>
      <c r="H349" s="128">
        <f t="shared" si="92"/>
        <v>6</v>
      </c>
      <c r="I349" s="128">
        <f t="shared" si="93"/>
        <v>7</v>
      </c>
      <c r="J349" s="188">
        <f t="shared" si="94"/>
        <v>46362</v>
      </c>
      <c r="K349" s="128" t="str" cm="1">
        <f t="array" ref="K349">IF(AND(I349&lt;7,INDEX(B_tblFTMatrix,$E349,$H349)="x"),"ft","")</f>
        <v/>
      </c>
      <c r="L349" s="128"/>
      <c r="M349" s="128"/>
      <c r="N349" s="128">
        <f t="shared" si="85"/>
        <v>0</v>
      </c>
      <c r="O349" s="128">
        <f t="shared" si="95"/>
        <v>0</v>
      </c>
      <c r="P349" s="227">
        <f t="shared" si="86"/>
        <v>0</v>
      </c>
      <c r="Q349" s="229" cm="1">
        <f t="array" ref="Q349">SUMPRODUCT((H_tblBGTage=I349)*(H_tblBGMnt=E349)*H_tblBG%)</f>
        <v>0</v>
      </c>
      <c r="R349" s="227">
        <f t="shared" si="96"/>
        <v>0</v>
      </c>
      <c r="S349" s="233"/>
      <c r="T349" s="233"/>
      <c r="U349" s="232" cm="1">
        <f t="array" ref="U349">SUMPRODUCT((DEC!M_Verweiszeile=$H349)*DEC!M_ProdTag*(DEC!M_Monat=$E349))</f>
        <v>0</v>
      </c>
      <c r="V349" s="232" cm="1">
        <f t="array" ref="V349">SUMPRODUCT((DEC!M_Verweiszeile=$H349)*DEC!M_ProdN1*(DEC!M_Monat=$E349))</f>
        <v>0</v>
      </c>
      <c r="W349" s="232" cm="1">
        <f t="array" ref="W349">SUMPRODUCT((DEC!M_Verweiszeile=$H349)*DEC!M_ProdN2*(DEC!M_Monat=$E349))</f>
        <v>0</v>
      </c>
      <c r="X349" s="232" cm="1">
        <f t="array" ref="X349">SUMPRODUCT((DEC!M_Verweiszeile=$H349)*DEC!M_Reise*(DEC!M_Monat=$E349))</f>
        <v>0</v>
      </c>
      <c r="Y349" s="232" cm="1">
        <f t="array" ref="Y349">SUMPRODUCT((DEC!M_Verweiszeile=$H349)*DEC!M_Reiseabzug*(DEC!M_Monat=$E349))</f>
        <v>0</v>
      </c>
      <c r="Z349" s="232">
        <f t="shared" si="97"/>
        <v>0</v>
      </c>
      <c r="AA349" s="232">
        <f t="shared" si="87"/>
        <v>0</v>
      </c>
      <c r="AB349" s="232">
        <f t="shared" si="88"/>
        <v>0</v>
      </c>
      <c r="AC349" s="232">
        <f t="shared" si="98"/>
        <v>0</v>
      </c>
      <c r="AD349" s="232">
        <f t="shared" si="99"/>
        <v>0</v>
      </c>
      <c r="AE349" s="232">
        <f t="shared" si="100"/>
        <v>0</v>
      </c>
    </row>
    <row r="350" spans="3:31" s="185" customFormat="1" x14ac:dyDescent="0.2">
      <c r="C350" s="128">
        <v>341</v>
      </c>
      <c r="D350" s="186">
        <f t="shared" si="101"/>
        <v>46363</v>
      </c>
      <c r="E350" s="128">
        <f t="shared" si="89"/>
        <v>12</v>
      </c>
      <c r="F350" s="187">
        <f t="shared" si="90"/>
        <v>46363</v>
      </c>
      <c r="G350" s="128">
        <f t="shared" si="91"/>
        <v>50</v>
      </c>
      <c r="H350" s="128">
        <f t="shared" si="92"/>
        <v>7</v>
      </c>
      <c r="I350" s="128">
        <f t="shared" si="93"/>
        <v>1</v>
      </c>
      <c r="J350" s="188">
        <f t="shared" si="94"/>
        <v>46363</v>
      </c>
      <c r="K350" s="128" t="str" cm="1">
        <f t="array" ref="K350">IF(AND(I350&lt;7,INDEX(B_tblFTMatrix,$E350,$H350)="x"),"ft","")</f>
        <v/>
      </c>
      <c r="L350" s="128"/>
      <c r="M350" s="128"/>
      <c r="N350" s="128">
        <f t="shared" si="85"/>
        <v>1</v>
      </c>
      <c r="O350" s="128">
        <f t="shared" si="95"/>
        <v>1</v>
      </c>
      <c r="P350" s="227">
        <f t="shared" si="86"/>
        <v>8</v>
      </c>
      <c r="Q350" s="229" cm="1">
        <f t="array" ref="Q350">SUMPRODUCT((H_tblBGTage=I350)*(H_tblBGMnt=E350)*H_tblBG%)</f>
        <v>1</v>
      </c>
      <c r="R350" s="227">
        <f t="shared" si="96"/>
        <v>8</v>
      </c>
      <c r="S350" s="233"/>
      <c r="T350" s="233"/>
      <c r="U350" s="232" cm="1">
        <f t="array" ref="U350">SUMPRODUCT((DEC!M_Verweiszeile=$H350)*DEC!M_ProdTag*(DEC!M_Monat=$E350))</f>
        <v>0</v>
      </c>
      <c r="V350" s="232" cm="1">
        <f t="array" ref="V350">SUMPRODUCT((DEC!M_Verweiszeile=$H350)*DEC!M_ProdN1*(DEC!M_Monat=$E350))</f>
        <v>0</v>
      </c>
      <c r="W350" s="232" cm="1">
        <f t="array" ref="W350">SUMPRODUCT((DEC!M_Verweiszeile=$H350)*DEC!M_ProdN2*(DEC!M_Monat=$E350))</f>
        <v>0</v>
      </c>
      <c r="X350" s="232" cm="1">
        <f t="array" ref="X350">SUMPRODUCT((DEC!M_Verweiszeile=$H350)*DEC!M_Reise*(DEC!M_Monat=$E350))</f>
        <v>0</v>
      </c>
      <c r="Y350" s="232" cm="1">
        <f t="array" ref="Y350">SUMPRODUCT((DEC!M_Verweiszeile=$H350)*DEC!M_Reiseabzug*(DEC!M_Monat=$E350))</f>
        <v>0</v>
      </c>
      <c r="Z350" s="232">
        <f t="shared" si="97"/>
        <v>0</v>
      </c>
      <c r="AA350" s="232">
        <f t="shared" si="87"/>
        <v>0</v>
      </c>
      <c r="AB350" s="232">
        <f t="shared" si="88"/>
        <v>0</v>
      </c>
      <c r="AC350" s="232">
        <f t="shared" si="98"/>
        <v>0</v>
      </c>
      <c r="AD350" s="232">
        <f t="shared" si="99"/>
        <v>0</v>
      </c>
      <c r="AE350" s="232">
        <f t="shared" si="100"/>
        <v>0</v>
      </c>
    </row>
    <row r="351" spans="3:31" s="185" customFormat="1" x14ac:dyDescent="0.2">
      <c r="C351" s="128">
        <v>342</v>
      </c>
      <c r="D351" s="186">
        <f t="shared" si="101"/>
        <v>46364</v>
      </c>
      <c r="E351" s="128">
        <f t="shared" si="89"/>
        <v>12</v>
      </c>
      <c r="F351" s="187">
        <f t="shared" si="90"/>
        <v>46364</v>
      </c>
      <c r="G351" s="128">
        <f t="shared" si="91"/>
        <v>50</v>
      </c>
      <c r="H351" s="128">
        <f t="shared" si="92"/>
        <v>8</v>
      </c>
      <c r="I351" s="128">
        <f t="shared" si="93"/>
        <v>2</v>
      </c>
      <c r="J351" s="188">
        <f t="shared" si="94"/>
        <v>46364</v>
      </c>
      <c r="K351" s="128" t="str" cm="1">
        <f t="array" ref="K351">IF(AND(I351&lt;7,INDEX(B_tblFTMatrix,$E351,$H351)="x"),"ft","")</f>
        <v/>
      </c>
      <c r="L351" s="128"/>
      <c r="M351" s="128"/>
      <c r="N351" s="128">
        <f t="shared" si="85"/>
        <v>1</v>
      </c>
      <c r="O351" s="128">
        <f t="shared" si="95"/>
        <v>1</v>
      </c>
      <c r="P351" s="227">
        <f t="shared" si="86"/>
        <v>8</v>
      </c>
      <c r="Q351" s="229" cm="1">
        <f t="array" ref="Q351">SUMPRODUCT((H_tblBGTage=I351)*(H_tblBGMnt=E351)*H_tblBG%)</f>
        <v>1</v>
      </c>
      <c r="R351" s="227">
        <f t="shared" si="96"/>
        <v>8</v>
      </c>
      <c r="S351" s="233"/>
      <c r="T351" s="233"/>
      <c r="U351" s="232" cm="1">
        <f t="array" ref="U351">SUMPRODUCT((DEC!M_Verweiszeile=$H351)*DEC!M_ProdTag*(DEC!M_Monat=$E351))</f>
        <v>0</v>
      </c>
      <c r="V351" s="232" cm="1">
        <f t="array" ref="V351">SUMPRODUCT((DEC!M_Verweiszeile=$H351)*DEC!M_ProdN1*(DEC!M_Monat=$E351))</f>
        <v>0</v>
      </c>
      <c r="W351" s="232" cm="1">
        <f t="array" ref="W351">SUMPRODUCT((DEC!M_Verweiszeile=$H351)*DEC!M_ProdN2*(DEC!M_Monat=$E351))</f>
        <v>0</v>
      </c>
      <c r="X351" s="232" cm="1">
        <f t="array" ref="X351">SUMPRODUCT((DEC!M_Verweiszeile=$H351)*DEC!M_Reise*(DEC!M_Monat=$E351))</f>
        <v>0</v>
      </c>
      <c r="Y351" s="232" cm="1">
        <f t="array" ref="Y351">SUMPRODUCT((DEC!M_Verweiszeile=$H351)*DEC!M_Reiseabzug*(DEC!M_Monat=$E351))</f>
        <v>0</v>
      </c>
      <c r="Z351" s="232">
        <f t="shared" si="97"/>
        <v>0</v>
      </c>
      <c r="AA351" s="232">
        <f t="shared" si="87"/>
        <v>0</v>
      </c>
      <c r="AB351" s="232">
        <f t="shared" si="88"/>
        <v>0</v>
      </c>
      <c r="AC351" s="232">
        <f t="shared" si="98"/>
        <v>0</v>
      </c>
      <c r="AD351" s="232">
        <f t="shared" si="99"/>
        <v>0</v>
      </c>
      <c r="AE351" s="232">
        <f t="shared" si="100"/>
        <v>0</v>
      </c>
    </row>
    <row r="352" spans="3:31" s="185" customFormat="1" x14ac:dyDescent="0.2">
      <c r="C352" s="128">
        <v>343</v>
      </c>
      <c r="D352" s="186">
        <f t="shared" si="101"/>
        <v>46365</v>
      </c>
      <c r="E352" s="128">
        <f t="shared" si="89"/>
        <v>12</v>
      </c>
      <c r="F352" s="187">
        <f t="shared" si="90"/>
        <v>46365</v>
      </c>
      <c r="G352" s="128">
        <f t="shared" si="91"/>
        <v>50</v>
      </c>
      <c r="H352" s="128">
        <f t="shared" si="92"/>
        <v>9</v>
      </c>
      <c r="I352" s="128">
        <f t="shared" si="93"/>
        <v>3</v>
      </c>
      <c r="J352" s="188">
        <f t="shared" si="94"/>
        <v>46365</v>
      </c>
      <c r="K352" s="128" t="str" cm="1">
        <f t="array" ref="K352">IF(AND(I352&lt;7,INDEX(B_tblFTMatrix,$E352,$H352)="x"),"ft","")</f>
        <v/>
      </c>
      <c r="L352" s="128"/>
      <c r="M352" s="128"/>
      <c r="N352" s="128">
        <f t="shared" si="85"/>
        <v>1</v>
      </c>
      <c r="O352" s="128">
        <f t="shared" si="95"/>
        <v>1</v>
      </c>
      <c r="P352" s="227">
        <f t="shared" si="86"/>
        <v>8</v>
      </c>
      <c r="Q352" s="229" cm="1">
        <f t="array" ref="Q352">SUMPRODUCT((H_tblBGTage=I352)*(H_tblBGMnt=E352)*H_tblBG%)</f>
        <v>1</v>
      </c>
      <c r="R352" s="227">
        <f t="shared" si="96"/>
        <v>8</v>
      </c>
      <c r="S352" s="233"/>
      <c r="T352" s="233"/>
      <c r="U352" s="232" cm="1">
        <f t="array" ref="U352">SUMPRODUCT((DEC!M_Verweiszeile=$H352)*DEC!M_ProdTag*(DEC!M_Monat=$E352))</f>
        <v>0</v>
      </c>
      <c r="V352" s="232" cm="1">
        <f t="array" ref="V352">SUMPRODUCT((DEC!M_Verweiszeile=$H352)*DEC!M_ProdN1*(DEC!M_Monat=$E352))</f>
        <v>0</v>
      </c>
      <c r="W352" s="232" cm="1">
        <f t="array" ref="W352">SUMPRODUCT((DEC!M_Verweiszeile=$H352)*DEC!M_ProdN2*(DEC!M_Monat=$E352))</f>
        <v>0</v>
      </c>
      <c r="X352" s="232" cm="1">
        <f t="array" ref="X352">SUMPRODUCT((DEC!M_Verweiszeile=$H352)*DEC!M_Reise*(DEC!M_Monat=$E352))</f>
        <v>0</v>
      </c>
      <c r="Y352" s="232" cm="1">
        <f t="array" ref="Y352">SUMPRODUCT((DEC!M_Verweiszeile=$H352)*DEC!M_Reiseabzug*(DEC!M_Monat=$E352))</f>
        <v>0</v>
      </c>
      <c r="Z352" s="232">
        <f t="shared" si="97"/>
        <v>0</v>
      </c>
      <c r="AA352" s="232">
        <f t="shared" si="87"/>
        <v>0</v>
      </c>
      <c r="AB352" s="232">
        <f t="shared" si="88"/>
        <v>0</v>
      </c>
      <c r="AC352" s="232">
        <f t="shared" si="98"/>
        <v>0</v>
      </c>
      <c r="AD352" s="232">
        <f t="shared" si="99"/>
        <v>0</v>
      </c>
      <c r="AE352" s="232">
        <f t="shared" si="100"/>
        <v>0</v>
      </c>
    </row>
    <row r="353" spans="3:31" s="185" customFormat="1" x14ac:dyDescent="0.2">
      <c r="C353" s="128">
        <v>344</v>
      </c>
      <c r="D353" s="186">
        <f t="shared" si="101"/>
        <v>46366</v>
      </c>
      <c r="E353" s="128">
        <f t="shared" si="89"/>
        <v>12</v>
      </c>
      <c r="F353" s="187">
        <f t="shared" si="90"/>
        <v>46366</v>
      </c>
      <c r="G353" s="128">
        <f t="shared" si="91"/>
        <v>50</v>
      </c>
      <c r="H353" s="128">
        <f t="shared" si="92"/>
        <v>10</v>
      </c>
      <c r="I353" s="128">
        <f t="shared" si="93"/>
        <v>4</v>
      </c>
      <c r="J353" s="188">
        <f t="shared" si="94"/>
        <v>46366</v>
      </c>
      <c r="K353" s="128" t="str" cm="1">
        <f t="array" ref="K353">IF(AND(I353&lt;7,INDEX(B_tblFTMatrix,$E353,$H353)="x"),"ft","")</f>
        <v/>
      </c>
      <c r="L353" s="128"/>
      <c r="M353" s="128"/>
      <c r="N353" s="128">
        <f t="shared" si="85"/>
        <v>1</v>
      </c>
      <c r="O353" s="128">
        <f t="shared" si="95"/>
        <v>1</v>
      </c>
      <c r="P353" s="227">
        <f t="shared" si="86"/>
        <v>8</v>
      </c>
      <c r="Q353" s="229" cm="1">
        <f t="array" ref="Q353">SUMPRODUCT((H_tblBGTage=I353)*(H_tblBGMnt=E353)*H_tblBG%)</f>
        <v>1</v>
      </c>
      <c r="R353" s="227">
        <f t="shared" si="96"/>
        <v>8</v>
      </c>
      <c r="S353" s="233"/>
      <c r="T353" s="233"/>
      <c r="U353" s="232" cm="1">
        <f t="array" ref="U353">SUMPRODUCT((DEC!M_Verweiszeile=$H353)*DEC!M_ProdTag*(DEC!M_Monat=$E353))</f>
        <v>0</v>
      </c>
      <c r="V353" s="232" cm="1">
        <f t="array" ref="V353">SUMPRODUCT((DEC!M_Verweiszeile=$H353)*DEC!M_ProdN1*(DEC!M_Monat=$E353))</f>
        <v>0</v>
      </c>
      <c r="W353" s="232" cm="1">
        <f t="array" ref="W353">SUMPRODUCT((DEC!M_Verweiszeile=$H353)*DEC!M_ProdN2*(DEC!M_Monat=$E353))</f>
        <v>0</v>
      </c>
      <c r="X353" s="232" cm="1">
        <f t="array" ref="X353">SUMPRODUCT((DEC!M_Verweiszeile=$H353)*DEC!M_Reise*(DEC!M_Monat=$E353))</f>
        <v>0</v>
      </c>
      <c r="Y353" s="232" cm="1">
        <f t="array" ref="Y353">SUMPRODUCT((DEC!M_Verweiszeile=$H353)*DEC!M_Reiseabzug*(DEC!M_Monat=$E353))</f>
        <v>0</v>
      </c>
      <c r="Z353" s="232">
        <f t="shared" si="97"/>
        <v>0</v>
      </c>
      <c r="AA353" s="232">
        <f t="shared" si="87"/>
        <v>0</v>
      </c>
      <c r="AB353" s="232">
        <f t="shared" si="88"/>
        <v>0</v>
      </c>
      <c r="AC353" s="232">
        <f t="shared" si="98"/>
        <v>0</v>
      </c>
      <c r="AD353" s="232">
        <f t="shared" si="99"/>
        <v>0</v>
      </c>
      <c r="AE353" s="232">
        <f t="shared" si="100"/>
        <v>0</v>
      </c>
    </row>
    <row r="354" spans="3:31" s="185" customFormat="1" x14ac:dyDescent="0.2">
      <c r="C354" s="128">
        <v>345</v>
      </c>
      <c r="D354" s="186">
        <f t="shared" si="101"/>
        <v>46367</v>
      </c>
      <c r="E354" s="128">
        <f t="shared" si="89"/>
        <v>12</v>
      </c>
      <c r="F354" s="187">
        <f t="shared" si="90"/>
        <v>46367</v>
      </c>
      <c r="G354" s="128">
        <f t="shared" si="91"/>
        <v>50</v>
      </c>
      <c r="H354" s="128">
        <f t="shared" si="92"/>
        <v>11</v>
      </c>
      <c r="I354" s="128">
        <f t="shared" si="93"/>
        <v>5</v>
      </c>
      <c r="J354" s="188">
        <f t="shared" si="94"/>
        <v>46367</v>
      </c>
      <c r="K354" s="128" t="str" cm="1">
        <f t="array" ref="K354">IF(AND(I354&lt;7,INDEX(B_tblFTMatrix,$E354,$H354)="x"),"ft","")</f>
        <v/>
      </c>
      <c r="L354" s="128"/>
      <c r="M354" s="128"/>
      <c r="N354" s="128">
        <f t="shared" si="85"/>
        <v>1</v>
      </c>
      <c r="O354" s="128">
        <f t="shared" si="95"/>
        <v>1</v>
      </c>
      <c r="P354" s="227">
        <f t="shared" si="86"/>
        <v>8</v>
      </c>
      <c r="Q354" s="229" cm="1">
        <f t="array" ref="Q354">SUMPRODUCT((H_tblBGTage=I354)*(H_tblBGMnt=E354)*H_tblBG%)</f>
        <v>1</v>
      </c>
      <c r="R354" s="227">
        <f t="shared" si="96"/>
        <v>8</v>
      </c>
      <c r="S354" s="233"/>
      <c r="T354" s="233"/>
      <c r="U354" s="232" cm="1">
        <f t="array" ref="U354">SUMPRODUCT((DEC!M_Verweiszeile=$H354)*DEC!M_ProdTag*(DEC!M_Monat=$E354))</f>
        <v>0</v>
      </c>
      <c r="V354" s="232" cm="1">
        <f t="array" ref="V354">SUMPRODUCT((DEC!M_Verweiszeile=$H354)*DEC!M_ProdN1*(DEC!M_Monat=$E354))</f>
        <v>0</v>
      </c>
      <c r="W354" s="232" cm="1">
        <f t="array" ref="W354">SUMPRODUCT((DEC!M_Verweiszeile=$H354)*DEC!M_ProdN2*(DEC!M_Monat=$E354))</f>
        <v>0</v>
      </c>
      <c r="X354" s="232" cm="1">
        <f t="array" ref="X354">SUMPRODUCT((DEC!M_Verweiszeile=$H354)*DEC!M_Reise*(DEC!M_Monat=$E354))</f>
        <v>0</v>
      </c>
      <c r="Y354" s="232" cm="1">
        <f t="array" ref="Y354">SUMPRODUCT((DEC!M_Verweiszeile=$H354)*DEC!M_Reiseabzug*(DEC!M_Monat=$E354))</f>
        <v>0</v>
      </c>
      <c r="Z354" s="232">
        <f t="shared" si="97"/>
        <v>0</v>
      </c>
      <c r="AA354" s="232">
        <f t="shared" si="87"/>
        <v>0</v>
      </c>
      <c r="AB354" s="232">
        <f t="shared" si="88"/>
        <v>0</v>
      </c>
      <c r="AC354" s="232">
        <f t="shared" si="98"/>
        <v>0</v>
      </c>
      <c r="AD354" s="232">
        <f t="shared" si="99"/>
        <v>0</v>
      </c>
      <c r="AE354" s="232">
        <f t="shared" si="100"/>
        <v>0</v>
      </c>
    </row>
    <row r="355" spans="3:31" s="185" customFormat="1" x14ac:dyDescent="0.2">
      <c r="C355" s="128">
        <v>346</v>
      </c>
      <c r="D355" s="186">
        <f t="shared" si="101"/>
        <v>46368</v>
      </c>
      <c r="E355" s="128">
        <f t="shared" si="89"/>
        <v>12</v>
      </c>
      <c r="F355" s="187">
        <f t="shared" si="90"/>
        <v>46368</v>
      </c>
      <c r="G355" s="128">
        <f t="shared" si="91"/>
        <v>50</v>
      </c>
      <c r="H355" s="128">
        <f t="shared" si="92"/>
        <v>12</v>
      </c>
      <c r="I355" s="128">
        <f t="shared" si="93"/>
        <v>6</v>
      </c>
      <c r="J355" s="188">
        <f t="shared" si="94"/>
        <v>46368</v>
      </c>
      <c r="K355" s="128" t="str" cm="1">
        <f t="array" ref="K355">IF(AND(I355&lt;7,INDEX(B_tblFTMatrix,$E355,$H355)="x"),"ft","")</f>
        <v/>
      </c>
      <c r="L355" s="128"/>
      <c r="M355" s="128"/>
      <c r="N355" s="128">
        <f t="shared" si="85"/>
        <v>0</v>
      </c>
      <c r="O355" s="128">
        <f t="shared" si="95"/>
        <v>0</v>
      </c>
      <c r="P355" s="227">
        <f t="shared" si="86"/>
        <v>0</v>
      </c>
      <c r="Q355" s="229" cm="1">
        <f t="array" ref="Q355">SUMPRODUCT((H_tblBGTage=I355)*(H_tblBGMnt=E355)*H_tblBG%)</f>
        <v>0</v>
      </c>
      <c r="R355" s="227">
        <f t="shared" si="96"/>
        <v>0</v>
      </c>
      <c r="S355" s="233"/>
      <c r="T355" s="233"/>
      <c r="U355" s="232" cm="1">
        <f t="array" ref="U355">SUMPRODUCT((DEC!M_Verweiszeile=$H355)*DEC!M_ProdTag*(DEC!M_Monat=$E355))</f>
        <v>0</v>
      </c>
      <c r="V355" s="232" cm="1">
        <f t="array" ref="V355">SUMPRODUCT((DEC!M_Verweiszeile=$H355)*DEC!M_ProdN1*(DEC!M_Monat=$E355))</f>
        <v>0</v>
      </c>
      <c r="W355" s="232" cm="1">
        <f t="array" ref="W355">SUMPRODUCT((DEC!M_Verweiszeile=$H355)*DEC!M_ProdN2*(DEC!M_Monat=$E355))</f>
        <v>0</v>
      </c>
      <c r="X355" s="232" cm="1">
        <f t="array" ref="X355">SUMPRODUCT((DEC!M_Verweiszeile=$H355)*DEC!M_Reise*(DEC!M_Monat=$E355))</f>
        <v>0</v>
      </c>
      <c r="Y355" s="232" cm="1">
        <f t="array" ref="Y355">SUMPRODUCT((DEC!M_Verweiszeile=$H355)*DEC!M_Reiseabzug*(DEC!M_Monat=$E355))</f>
        <v>0</v>
      </c>
      <c r="Z355" s="232">
        <f t="shared" si="97"/>
        <v>0</v>
      </c>
      <c r="AA355" s="232">
        <f t="shared" si="87"/>
        <v>0</v>
      </c>
      <c r="AB355" s="232">
        <f t="shared" si="88"/>
        <v>0</v>
      </c>
      <c r="AC355" s="232">
        <f t="shared" si="98"/>
        <v>0</v>
      </c>
      <c r="AD355" s="232">
        <f t="shared" si="99"/>
        <v>0</v>
      </c>
      <c r="AE355" s="232">
        <f t="shared" si="100"/>
        <v>0</v>
      </c>
    </row>
    <row r="356" spans="3:31" s="185" customFormat="1" x14ac:dyDescent="0.2">
      <c r="C356" s="128">
        <v>347</v>
      </c>
      <c r="D356" s="186">
        <f t="shared" si="101"/>
        <v>46369</v>
      </c>
      <c r="E356" s="128">
        <f t="shared" si="89"/>
        <v>12</v>
      </c>
      <c r="F356" s="187">
        <f t="shared" si="90"/>
        <v>46369</v>
      </c>
      <c r="G356" s="128">
        <f t="shared" si="91"/>
        <v>50</v>
      </c>
      <c r="H356" s="128">
        <f t="shared" si="92"/>
        <v>13</v>
      </c>
      <c r="I356" s="128">
        <f t="shared" si="93"/>
        <v>7</v>
      </c>
      <c r="J356" s="188">
        <f t="shared" si="94"/>
        <v>46369</v>
      </c>
      <c r="K356" s="128" t="str" cm="1">
        <f t="array" ref="K356">IF(AND(I356&lt;7,INDEX(B_tblFTMatrix,$E356,$H356)="x"),"ft","")</f>
        <v/>
      </c>
      <c r="L356" s="128"/>
      <c r="M356" s="128"/>
      <c r="N356" s="128">
        <f t="shared" si="85"/>
        <v>0</v>
      </c>
      <c r="O356" s="128">
        <f t="shared" si="95"/>
        <v>0</v>
      </c>
      <c r="P356" s="227">
        <f t="shared" si="86"/>
        <v>0</v>
      </c>
      <c r="Q356" s="229" cm="1">
        <f t="array" ref="Q356">SUMPRODUCT((H_tblBGTage=I356)*(H_tblBGMnt=E356)*H_tblBG%)</f>
        <v>0</v>
      </c>
      <c r="R356" s="227">
        <f t="shared" si="96"/>
        <v>0</v>
      </c>
      <c r="S356" s="233"/>
      <c r="T356" s="233"/>
      <c r="U356" s="232" cm="1">
        <f t="array" ref="U356">SUMPRODUCT((DEC!M_Verweiszeile=$H356)*DEC!M_ProdTag*(DEC!M_Monat=$E356))</f>
        <v>0</v>
      </c>
      <c r="V356" s="232" cm="1">
        <f t="array" ref="V356">SUMPRODUCT((DEC!M_Verweiszeile=$H356)*DEC!M_ProdN1*(DEC!M_Monat=$E356))</f>
        <v>0</v>
      </c>
      <c r="W356" s="232" cm="1">
        <f t="array" ref="W356">SUMPRODUCT((DEC!M_Verweiszeile=$H356)*DEC!M_ProdN2*(DEC!M_Monat=$E356))</f>
        <v>0</v>
      </c>
      <c r="X356" s="232" cm="1">
        <f t="array" ref="X356">SUMPRODUCT((DEC!M_Verweiszeile=$H356)*DEC!M_Reise*(DEC!M_Monat=$E356))</f>
        <v>0</v>
      </c>
      <c r="Y356" s="232" cm="1">
        <f t="array" ref="Y356">SUMPRODUCT((DEC!M_Verweiszeile=$H356)*DEC!M_Reiseabzug*(DEC!M_Monat=$E356))</f>
        <v>0</v>
      </c>
      <c r="Z356" s="232">
        <f t="shared" si="97"/>
        <v>0</v>
      </c>
      <c r="AA356" s="232">
        <f t="shared" si="87"/>
        <v>0</v>
      </c>
      <c r="AB356" s="232">
        <f t="shared" si="88"/>
        <v>0</v>
      </c>
      <c r="AC356" s="232">
        <f t="shared" si="98"/>
        <v>0</v>
      </c>
      <c r="AD356" s="232">
        <f t="shared" si="99"/>
        <v>0</v>
      </c>
      <c r="AE356" s="232">
        <f t="shared" si="100"/>
        <v>0</v>
      </c>
    </row>
    <row r="357" spans="3:31" s="185" customFormat="1" x14ac:dyDescent="0.2">
      <c r="C357" s="128">
        <v>348</v>
      </c>
      <c r="D357" s="186">
        <f t="shared" si="101"/>
        <v>46370</v>
      </c>
      <c r="E357" s="128">
        <f t="shared" si="89"/>
        <v>12</v>
      </c>
      <c r="F357" s="187">
        <f t="shared" si="90"/>
        <v>46370</v>
      </c>
      <c r="G357" s="128">
        <f t="shared" si="91"/>
        <v>51</v>
      </c>
      <c r="H357" s="128">
        <f t="shared" si="92"/>
        <v>14</v>
      </c>
      <c r="I357" s="128">
        <f t="shared" si="93"/>
        <v>1</v>
      </c>
      <c r="J357" s="188">
        <f t="shared" si="94"/>
        <v>46370</v>
      </c>
      <c r="K357" s="128" t="str" cm="1">
        <f t="array" ref="K357">IF(AND(I357&lt;7,INDEX(B_tblFTMatrix,$E357,$H357)="x"),"ft","")</f>
        <v/>
      </c>
      <c r="L357" s="128"/>
      <c r="M357" s="128"/>
      <c r="N357" s="128">
        <f t="shared" si="85"/>
        <v>1</v>
      </c>
      <c r="O357" s="128">
        <f t="shared" si="95"/>
        <v>1</v>
      </c>
      <c r="P357" s="227">
        <f t="shared" si="86"/>
        <v>8</v>
      </c>
      <c r="Q357" s="229" cm="1">
        <f t="array" ref="Q357">SUMPRODUCT((H_tblBGTage=I357)*(H_tblBGMnt=E357)*H_tblBG%)</f>
        <v>1</v>
      </c>
      <c r="R357" s="227">
        <f t="shared" si="96"/>
        <v>8</v>
      </c>
      <c r="S357" s="233"/>
      <c r="T357" s="233"/>
      <c r="U357" s="232" cm="1">
        <f t="array" ref="U357">SUMPRODUCT((DEC!M_Verweiszeile=$H357)*DEC!M_ProdTag*(DEC!M_Monat=$E357))</f>
        <v>0</v>
      </c>
      <c r="V357" s="232" cm="1">
        <f t="array" ref="V357">SUMPRODUCT((DEC!M_Verweiszeile=$H357)*DEC!M_ProdN1*(DEC!M_Monat=$E357))</f>
        <v>0</v>
      </c>
      <c r="W357" s="232" cm="1">
        <f t="array" ref="W357">SUMPRODUCT((DEC!M_Verweiszeile=$H357)*DEC!M_ProdN2*(DEC!M_Monat=$E357))</f>
        <v>0</v>
      </c>
      <c r="X357" s="232" cm="1">
        <f t="array" ref="X357">SUMPRODUCT((DEC!M_Verweiszeile=$H357)*DEC!M_Reise*(DEC!M_Monat=$E357))</f>
        <v>0</v>
      </c>
      <c r="Y357" s="232" cm="1">
        <f t="array" ref="Y357">SUMPRODUCT((DEC!M_Verweiszeile=$H357)*DEC!M_Reiseabzug*(DEC!M_Monat=$E357))</f>
        <v>0</v>
      </c>
      <c r="Z357" s="232">
        <f t="shared" si="97"/>
        <v>0</v>
      </c>
      <c r="AA357" s="232">
        <f t="shared" si="87"/>
        <v>0</v>
      </c>
      <c r="AB357" s="232">
        <f t="shared" si="88"/>
        <v>0</v>
      </c>
      <c r="AC357" s="232">
        <f t="shared" si="98"/>
        <v>0</v>
      </c>
      <c r="AD357" s="232">
        <f t="shared" si="99"/>
        <v>0</v>
      </c>
      <c r="AE357" s="232">
        <f t="shared" si="100"/>
        <v>0</v>
      </c>
    </row>
    <row r="358" spans="3:31" s="185" customFormat="1" x14ac:dyDescent="0.2">
      <c r="C358" s="128">
        <v>349</v>
      </c>
      <c r="D358" s="186">
        <f t="shared" si="101"/>
        <v>46371</v>
      </c>
      <c r="E358" s="128">
        <f t="shared" si="89"/>
        <v>12</v>
      </c>
      <c r="F358" s="187">
        <f t="shared" si="90"/>
        <v>46371</v>
      </c>
      <c r="G358" s="128">
        <f t="shared" si="91"/>
        <v>51</v>
      </c>
      <c r="H358" s="128">
        <f t="shared" si="92"/>
        <v>15</v>
      </c>
      <c r="I358" s="128">
        <f t="shared" si="93"/>
        <v>2</v>
      </c>
      <c r="J358" s="188">
        <f t="shared" si="94"/>
        <v>46371</v>
      </c>
      <c r="K358" s="128" t="str" cm="1">
        <f t="array" ref="K358">IF(AND(I358&lt;7,INDEX(B_tblFTMatrix,$E358,$H358)="x"),"ft","")</f>
        <v/>
      </c>
      <c r="L358" s="128"/>
      <c r="M358" s="128"/>
      <c r="N358" s="128">
        <f t="shared" si="85"/>
        <v>1</v>
      </c>
      <c r="O358" s="128">
        <f t="shared" si="95"/>
        <v>1</v>
      </c>
      <c r="P358" s="227">
        <f t="shared" si="86"/>
        <v>8</v>
      </c>
      <c r="Q358" s="229" cm="1">
        <f t="array" ref="Q358">SUMPRODUCT((H_tblBGTage=I358)*(H_tblBGMnt=E358)*H_tblBG%)</f>
        <v>1</v>
      </c>
      <c r="R358" s="227">
        <f t="shared" si="96"/>
        <v>8</v>
      </c>
      <c r="S358" s="233"/>
      <c r="T358" s="233"/>
      <c r="U358" s="232" cm="1">
        <f t="array" ref="U358">SUMPRODUCT((DEC!M_Verweiszeile=$H358)*DEC!M_ProdTag*(DEC!M_Monat=$E358))</f>
        <v>0</v>
      </c>
      <c r="V358" s="232" cm="1">
        <f t="array" ref="V358">SUMPRODUCT((DEC!M_Verweiszeile=$H358)*DEC!M_ProdN1*(DEC!M_Monat=$E358))</f>
        <v>0</v>
      </c>
      <c r="W358" s="232" cm="1">
        <f t="array" ref="W358">SUMPRODUCT((DEC!M_Verweiszeile=$H358)*DEC!M_ProdN2*(DEC!M_Monat=$E358))</f>
        <v>0</v>
      </c>
      <c r="X358" s="232" cm="1">
        <f t="array" ref="X358">SUMPRODUCT((DEC!M_Verweiszeile=$H358)*DEC!M_Reise*(DEC!M_Monat=$E358))</f>
        <v>0</v>
      </c>
      <c r="Y358" s="232" cm="1">
        <f t="array" ref="Y358">SUMPRODUCT((DEC!M_Verweiszeile=$H358)*DEC!M_Reiseabzug*(DEC!M_Monat=$E358))</f>
        <v>0</v>
      </c>
      <c r="Z358" s="232">
        <f t="shared" si="97"/>
        <v>0</v>
      </c>
      <c r="AA358" s="232">
        <f t="shared" si="87"/>
        <v>0</v>
      </c>
      <c r="AB358" s="232">
        <f t="shared" si="88"/>
        <v>0</v>
      </c>
      <c r="AC358" s="232">
        <f t="shared" si="98"/>
        <v>0</v>
      </c>
      <c r="AD358" s="232">
        <f t="shared" si="99"/>
        <v>0</v>
      </c>
      <c r="AE358" s="232">
        <f t="shared" si="100"/>
        <v>0</v>
      </c>
    </row>
    <row r="359" spans="3:31" s="185" customFormat="1" x14ac:dyDescent="0.2">
      <c r="C359" s="128">
        <v>350</v>
      </c>
      <c r="D359" s="186">
        <f t="shared" si="101"/>
        <v>46372</v>
      </c>
      <c r="E359" s="128">
        <f t="shared" si="89"/>
        <v>12</v>
      </c>
      <c r="F359" s="187">
        <f t="shared" si="90"/>
        <v>46372</v>
      </c>
      <c r="G359" s="128">
        <f t="shared" si="91"/>
        <v>51</v>
      </c>
      <c r="H359" s="128">
        <f t="shared" si="92"/>
        <v>16</v>
      </c>
      <c r="I359" s="128">
        <f t="shared" si="93"/>
        <v>3</v>
      </c>
      <c r="J359" s="188">
        <f t="shared" si="94"/>
        <v>46372</v>
      </c>
      <c r="K359" s="128" t="str" cm="1">
        <f t="array" ref="K359">IF(AND(I359&lt;7,INDEX(B_tblFTMatrix,$E359,$H359)="x"),"ft","")</f>
        <v/>
      </c>
      <c r="L359" s="128"/>
      <c r="M359" s="128"/>
      <c r="N359" s="128">
        <f t="shared" si="85"/>
        <v>1</v>
      </c>
      <c r="O359" s="128">
        <f t="shared" si="95"/>
        <v>1</v>
      </c>
      <c r="P359" s="227">
        <f t="shared" si="86"/>
        <v>8</v>
      </c>
      <c r="Q359" s="229" cm="1">
        <f t="array" ref="Q359">SUMPRODUCT((H_tblBGTage=I359)*(H_tblBGMnt=E359)*H_tblBG%)</f>
        <v>1</v>
      </c>
      <c r="R359" s="227">
        <f t="shared" si="96"/>
        <v>8</v>
      </c>
      <c r="S359" s="233"/>
      <c r="T359" s="233"/>
      <c r="U359" s="232" cm="1">
        <f t="array" ref="U359">SUMPRODUCT((DEC!M_Verweiszeile=$H359)*DEC!M_ProdTag*(DEC!M_Monat=$E359))</f>
        <v>0</v>
      </c>
      <c r="V359" s="232" cm="1">
        <f t="array" ref="V359">SUMPRODUCT((DEC!M_Verweiszeile=$H359)*DEC!M_ProdN1*(DEC!M_Monat=$E359))</f>
        <v>0</v>
      </c>
      <c r="W359" s="232" cm="1">
        <f t="array" ref="W359">SUMPRODUCT((DEC!M_Verweiszeile=$H359)*DEC!M_ProdN2*(DEC!M_Monat=$E359))</f>
        <v>0</v>
      </c>
      <c r="X359" s="232" cm="1">
        <f t="array" ref="X359">SUMPRODUCT((DEC!M_Verweiszeile=$H359)*DEC!M_Reise*(DEC!M_Monat=$E359))</f>
        <v>0</v>
      </c>
      <c r="Y359" s="232" cm="1">
        <f t="array" ref="Y359">SUMPRODUCT((DEC!M_Verweiszeile=$H359)*DEC!M_Reiseabzug*(DEC!M_Monat=$E359))</f>
        <v>0</v>
      </c>
      <c r="Z359" s="232">
        <f t="shared" si="97"/>
        <v>0</v>
      </c>
      <c r="AA359" s="232">
        <f t="shared" si="87"/>
        <v>0</v>
      </c>
      <c r="AB359" s="232">
        <f t="shared" si="88"/>
        <v>0</v>
      </c>
      <c r="AC359" s="232">
        <f t="shared" si="98"/>
        <v>0</v>
      </c>
      <c r="AD359" s="232">
        <f t="shared" si="99"/>
        <v>0</v>
      </c>
      <c r="AE359" s="232">
        <f t="shared" si="100"/>
        <v>0</v>
      </c>
    </row>
    <row r="360" spans="3:31" s="185" customFormat="1" x14ac:dyDescent="0.2">
      <c r="C360" s="128">
        <v>351</v>
      </c>
      <c r="D360" s="186">
        <f t="shared" si="101"/>
        <v>46373</v>
      </c>
      <c r="E360" s="128">
        <f t="shared" si="89"/>
        <v>12</v>
      </c>
      <c r="F360" s="187">
        <f t="shared" si="90"/>
        <v>46373</v>
      </c>
      <c r="G360" s="128">
        <f t="shared" si="91"/>
        <v>51</v>
      </c>
      <c r="H360" s="128">
        <f t="shared" si="92"/>
        <v>17</v>
      </c>
      <c r="I360" s="128">
        <f t="shared" si="93"/>
        <v>4</v>
      </c>
      <c r="J360" s="188">
        <f t="shared" si="94"/>
        <v>46373</v>
      </c>
      <c r="K360" s="128" t="str" cm="1">
        <f t="array" ref="K360">IF(AND(I360&lt;7,INDEX(B_tblFTMatrix,$E360,$H360)="x"),"ft","")</f>
        <v/>
      </c>
      <c r="L360" s="128"/>
      <c r="M360" s="128"/>
      <c r="N360" s="128">
        <f t="shared" si="85"/>
        <v>1</v>
      </c>
      <c r="O360" s="128">
        <f t="shared" si="95"/>
        <v>1</v>
      </c>
      <c r="P360" s="227">
        <f t="shared" si="86"/>
        <v>8</v>
      </c>
      <c r="Q360" s="229" cm="1">
        <f t="array" ref="Q360">SUMPRODUCT((H_tblBGTage=I360)*(H_tblBGMnt=E360)*H_tblBG%)</f>
        <v>1</v>
      </c>
      <c r="R360" s="227">
        <f t="shared" si="96"/>
        <v>8</v>
      </c>
      <c r="S360" s="233"/>
      <c r="T360" s="233"/>
      <c r="U360" s="232" cm="1">
        <f t="array" ref="U360">SUMPRODUCT((DEC!M_Verweiszeile=$H360)*DEC!M_ProdTag*(DEC!M_Monat=$E360))</f>
        <v>0</v>
      </c>
      <c r="V360" s="232" cm="1">
        <f t="array" ref="V360">SUMPRODUCT((DEC!M_Verweiszeile=$H360)*DEC!M_ProdN1*(DEC!M_Monat=$E360))</f>
        <v>0</v>
      </c>
      <c r="W360" s="232" cm="1">
        <f t="array" ref="W360">SUMPRODUCT((DEC!M_Verweiszeile=$H360)*DEC!M_ProdN2*(DEC!M_Monat=$E360))</f>
        <v>0</v>
      </c>
      <c r="X360" s="232" cm="1">
        <f t="array" ref="X360">SUMPRODUCT((DEC!M_Verweiszeile=$H360)*DEC!M_Reise*(DEC!M_Monat=$E360))</f>
        <v>0</v>
      </c>
      <c r="Y360" s="232" cm="1">
        <f t="array" ref="Y360">SUMPRODUCT((DEC!M_Verweiszeile=$H360)*DEC!M_Reiseabzug*(DEC!M_Monat=$E360))</f>
        <v>0</v>
      </c>
      <c r="Z360" s="232">
        <f t="shared" si="97"/>
        <v>0</v>
      </c>
      <c r="AA360" s="232">
        <f t="shared" si="87"/>
        <v>0</v>
      </c>
      <c r="AB360" s="232">
        <f t="shared" si="88"/>
        <v>0</v>
      </c>
      <c r="AC360" s="232">
        <f t="shared" si="98"/>
        <v>0</v>
      </c>
      <c r="AD360" s="232">
        <f t="shared" si="99"/>
        <v>0</v>
      </c>
      <c r="AE360" s="232">
        <f t="shared" si="100"/>
        <v>0</v>
      </c>
    </row>
    <row r="361" spans="3:31" s="185" customFormat="1" x14ac:dyDescent="0.2">
      <c r="C361" s="128">
        <v>352</v>
      </c>
      <c r="D361" s="186">
        <f t="shared" si="101"/>
        <v>46374</v>
      </c>
      <c r="E361" s="128">
        <f t="shared" si="89"/>
        <v>12</v>
      </c>
      <c r="F361" s="187">
        <f t="shared" si="90"/>
        <v>46374</v>
      </c>
      <c r="G361" s="128">
        <f t="shared" si="91"/>
        <v>51</v>
      </c>
      <c r="H361" s="128">
        <f t="shared" si="92"/>
        <v>18</v>
      </c>
      <c r="I361" s="128">
        <f t="shared" si="93"/>
        <v>5</v>
      </c>
      <c r="J361" s="188">
        <f t="shared" si="94"/>
        <v>46374</v>
      </c>
      <c r="K361" s="128" t="str" cm="1">
        <f t="array" ref="K361">IF(AND(I361&lt;7,INDEX(B_tblFTMatrix,$E361,$H361)="x"),"ft","")</f>
        <v/>
      </c>
      <c r="L361" s="128"/>
      <c r="M361" s="128"/>
      <c r="N361" s="128">
        <f t="shared" si="85"/>
        <v>1</v>
      </c>
      <c r="O361" s="128">
        <f t="shared" si="95"/>
        <v>1</v>
      </c>
      <c r="P361" s="227">
        <f t="shared" si="86"/>
        <v>8</v>
      </c>
      <c r="Q361" s="229" cm="1">
        <f t="array" ref="Q361">SUMPRODUCT((H_tblBGTage=I361)*(H_tblBGMnt=E361)*H_tblBG%)</f>
        <v>1</v>
      </c>
      <c r="R361" s="227">
        <f t="shared" si="96"/>
        <v>8</v>
      </c>
      <c r="S361" s="233"/>
      <c r="T361" s="233"/>
      <c r="U361" s="232" cm="1">
        <f t="array" ref="U361">SUMPRODUCT((DEC!M_Verweiszeile=$H361)*DEC!M_ProdTag*(DEC!M_Monat=$E361))</f>
        <v>0</v>
      </c>
      <c r="V361" s="232" cm="1">
        <f t="array" ref="V361">SUMPRODUCT((DEC!M_Verweiszeile=$H361)*DEC!M_ProdN1*(DEC!M_Monat=$E361))</f>
        <v>0</v>
      </c>
      <c r="W361" s="232" cm="1">
        <f t="array" ref="W361">SUMPRODUCT((DEC!M_Verweiszeile=$H361)*DEC!M_ProdN2*(DEC!M_Monat=$E361))</f>
        <v>0</v>
      </c>
      <c r="X361" s="232" cm="1">
        <f t="array" ref="X361">SUMPRODUCT((DEC!M_Verweiszeile=$H361)*DEC!M_Reise*(DEC!M_Monat=$E361))</f>
        <v>0</v>
      </c>
      <c r="Y361" s="232" cm="1">
        <f t="array" ref="Y361">SUMPRODUCT((DEC!M_Verweiszeile=$H361)*DEC!M_Reiseabzug*(DEC!M_Monat=$E361))</f>
        <v>0</v>
      </c>
      <c r="Z361" s="232">
        <f t="shared" si="97"/>
        <v>0</v>
      </c>
      <c r="AA361" s="232">
        <f t="shared" si="87"/>
        <v>0</v>
      </c>
      <c r="AB361" s="232">
        <f t="shared" si="88"/>
        <v>0</v>
      </c>
      <c r="AC361" s="232">
        <f t="shared" si="98"/>
        <v>0</v>
      </c>
      <c r="AD361" s="232">
        <f t="shared" si="99"/>
        <v>0</v>
      </c>
      <c r="AE361" s="232">
        <f t="shared" si="100"/>
        <v>0</v>
      </c>
    </row>
    <row r="362" spans="3:31" s="185" customFormat="1" x14ac:dyDescent="0.2">
      <c r="C362" s="128">
        <v>353</v>
      </c>
      <c r="D362" s="186">
        <f t="shared" si="101"/>
        <v>46375</v>
      </c>
      <c r="E362" s="128">
        <f t="shared" si="89"/>
        <v>12</v>
      </c>
      <c r="F362" s="187">
        <f t="shared" si="90"/>
        <v>46375</v>
      </c>
      <c r="G362" s="128">
        <f t="shared" si="91"/>
        <v>51</v>
      </c>
      <c r="H362" s="128">
        <f t="shared" si="92"/>
        <v>19</v>
      </c>
      <c r="I362" s="128">
        <f t="shared" si="93"/>
        <v>6</v>
      </c>
      <c r="J362" s="188">
        <f t="shared" si="94"/>
        <v>46375</v>
      </c>
      <c r="K362" s="128" t="str" cm="1">
        <f t="array" ref="K362">IF(AND(I362&lt;7,INDEX(B_tblFTMatrix,$E362,$H362)="x"),"ft","")</f>
        <v/>
      </c>
      <c r="L362" s="128"/>
      <c r="M362" s="128"/>
      <c r="N362" s="128">
        <f t="shared" si="85"/>
        <v>0</v>
      </c>
      <c r="O362" s="128">
        <f t="shared" si="95"/>
        <v>0</v>
      </c>
      <c r="P362" s="227">
        <f t="shared" si="86"/>
        <v>0</v>
      </c>
      <c r="Q362" s="229" cm="1">
        <f t="array" ref="Q362">SUMPRODUCT((H_tblBGTage=I362)*(H_tblBGMnt=E362)*H_tblBG%)</f>
        <v>0</v>
      </c>
      <c r="R362" s="227">
        <f t="shared" si="96"/>
        <v>0</v>
      </c>
      <c r="S362" s="233"/>
      <c r="T362" s="233"/>
      <c r="U362" s="232" cm="1">
        <f t="array" ref="U362">SUMPRODUCT((DEC!M_Verweiszeile=$H362)*DEC!M_ProdTag*(DEC!M_Monat=$E362))</f>
        <v>0</v>
      </c>
      <c r="V362" s="232" cm="1">
        <f t="array" ref="V362">SUMPRODUCT((DEC!M_Verweiszeile=$H362)*DEC!M_ProdN1*(DEC!M_Monat=$E362))</f>
        <v>0</v>
      </c>
      <c r="W362" s="232" cm="1">
        <f t="array" ref="W362">SUMPRODUCT((DEC!M_Verweiszeile=$H362)*DEC!M_ProdN2*(DEC!M_Monat=$E362))</f>
        <v>0</v>
      </c>
      <c r="X362" s="232" cm="1">
        <f t="array" ref="X362">SUMPRODUCT((DEC!M_Verweiszeile=$H362)*DEC!M_Reise*(DEC!M_Monat=$E362))</f>
        <v>0</v>
      </c>
      <c r="Y362" s="232" cm="1">
        <f t="array" ref="Y362">SUMPRODUCT((DEC!M_Verweiszeile=$H362)*DEC!M_Reiseabzug*(DEC!M_Monat=$E362))</f>
        <v>0</v>
      </c>
      <c r="Z362" s="232">
        <f t="shared" si="97"/>
        <v>0</v>
      </c>
      <c r="AA362" s="232">
        <f t="shared" si="87"/>
        <v>0</v>
      </c>
      <c r="AB362" s="232">
        <f t="shared" si="88"/>
        <v>0</v>
      </c>
      <c r="AC362" s="232">
        <f t="shared" si="98"/>
        <v>0</v>
      </c>
      <c r="AD362" s="232">
        <f t="shared" si="99"/>
        <v>0</v>
      </c>
      <c r="AE362" s="232">
        <f t="shared" si="100"/>
        <v>0</v>
      </c>
    </row>
    <row r="363" spans="3:31" s="185" customFormat="1" x14ac:dyDescent="0.2">
      <c r="C363" s="128">
        <v>354</v>
      </c>
      <c r="D363" s="186">
        <f t="shared" si="101"/>
        <v>46376</v>
      </c>
      <c r="E363" s="128">
        <f t="shared" si="89"/>
        <v>12</v>
      </c>
      <c r="F363" s="187">
        <f t="shared" si="90"/>
        <v>46376</v>
      </c>
      <c r="G363" s="128">
        <f t="shared" si="91"/>
        <v>51</v>
      </c>
      <c r="H363" s="128">
        <f t="shared" si="92"/>
        <v>20</v>
      </c>
      <c r="I363" s="128">
        <f t="shared" si="93"/>
        <v>7</v>
      </c>
      <c r="J363" s="188">
        <f t="shared" si="94"/>
        <v>46376</v>
      </c>
      <c r="K363" s="128" t="str" cm="1">
        <f t="array" ref="K363">IF(AND(I363&lt;7,INDEX(B_tblFTMatrix,$E363,$H363)="x"),"ft","")</f>
        <v/>
      </c>
      <c r="L363" s="128"/>
      <c r="M363" s="128"/>
      <c r="N363" s="128">
        <f t="shared" si="85"/>
        <v>0</v>
      </c>
      <c r="O363" s="128">
        <f t="shared" si="95"/>
        <v>0</v>
      </c>
      <c r="P363" s="227">
        <f t="shared" si="86"/>
        <v>0</v>
      </c>
      <c r="Q363" s="229" cm="1">
        <f t="array" ref="Q363">SUMPRODUCT((H_tblBGTage=I363)*(H_tblBGMnt=E363)*H_tblBG%)</f>
        <v>0</v>
      </c>
      <c r="R363" s="227">
        <f t="shared" si="96"/>
        <v>0</v>
      </c>
      <c r="S363" s="233"/>
      <c r="T363" s="233"/>
      <c r="U363" s="232" cm="1">
        <f t="array" ref="U363">SUMPRODUCT((DEC!M_Verweiszeile=$H363)*DEC!M_ProdTag*(DEC!M_Monat=$E363))</f>
        <v>0</v>
      </c>
      <c r="V363" s="232" cm="1">
        <f t="array" ref="V363">SUMPRODUCT((DEC!M_Verweiszeile=$H363)*DEC!M_ProdN1*(DEC!M_Monat=$E363))</f>
        <v>0</v>
      </c>
      <c r="W363" s="232" cm="1">
        <f t="array" ref="W363">SUMPRODUCT((DEC!M_Verweiszeile=$H363)*DEC!M_ProdN2*(DEC!M_Monat=$E363))</f>
        <v>0</v>
      </c>
      <c r="X363" s="232" cm="1">
        <f t="array" ref="X363">SUMPRODUCT((DEC!M_Verweiszeile=$H363)*DEC!M_Reise*(DEC!M_Monat=$E363))</f>
        <v>0</v>
      </c>
      <c r="Y363" s="232" cm="1">
        <f t="array" ref="Y363">SUMPRODUCT((DEC!M_Verweiszeile=$H363)*DEC!M_Reiseabzug*(DEC!M_Monat=$E363))</f>
        <v>0</v>
      </c>
      <c r="Z363" s="232">
        <f t="shared" si="97"/>
        <v>0</v>
      </c>
      <c r="AA363" s="232">
        <f t="shared" si="87"/>
        <v>0</v>
      </c>
      <c r="AB363" s="232">
        <f t="shared" si="88"/>
        <v>0</v>
      </c>
      <c r="AC363" s="232">
        <f t="shared" si="98"/>
        <v>0</v>
      </c>
      <c r="AD363" s="232">
        <f t="shared" si="99"/>
        <v>0</v>
      </c>
      <c r="AE363" s="232">
        <f t="shared" si="100"/>
        <v>0</v>
      </c>
    </row>
    <row r="364" spans="3:31" s="185" customFormat="1" x14ac:dyDescent="0.2">
      <c r="C364" s="128">
        <v>355</v>
      </c>
      <c r="D364" s="186">
        <f t="shared" si="101"/>
        <v>46377</v>
      </c>
      <c r="E364" s="128">
        <f t="shared" si="89"/>
        <v>12</v>
      </c>
      <c r="F364" s="187">
        <f t="shared" si="90"/>
        <v>46377</v>
      </c>
      <c r="G364" s="128">
        <f t="shared" si="91"/>
        <v>52</v>
      </c>
      <c r="H364" s="128">
        <f t="shared" si="92"/>
        <v>21</v>
      </c>
      <c r="I364" s="128">
        <f t="shared" si="93"/>
        <v>1</v>
      </c>
      <c r="J364" s="188">
        <f t="shared" si="94"/>
        <v>46377</v>
      </c>
      <c r="K364" s="128" t="str" cm="1">
        <f t="array" ref="K364">IF(AND(I364&lt;7,INDEX(B_tblFTMatrix,$E364,$H364)="x"),"ft","")</f>
        <v/>
      </c>
      <c r="L364" s="128"/>
      <c r="M364" s="128"/>
      <c r="N364" s="128">
        <f t="shared" si="85"/>
        <v>1</v>
      </c>
      <c r="O364" s="128">
        <f t="shared" si="95"/>
        <v>1</v>
      </c>
      <c r="P364" s="227">
        <f t="shared" si="86"/>
        <v>8</v>
      </c>
      <c r="Q364" s="229" cm="1">
        <f t="array" ref="Q364">SUMPRODUCT((H_tblBGTage=I364)*(H_tblBGMnt=E364)*H_tblBG%)</f>
        <v>1</v>
      </c>
      <c r="R364" s="227">
        <f t="shared" si="96"/>
        <v>8</v>
      </c>
      <c r="S364" s="233"/>
      <c r="T364" s="233"/>
      <c r="U364" s="232" cm="1">
        <f t="array" ref="U364">SUMPRODUCT((DEC!M_Verweiszeile=$H364)*DEC!M_ProdTag*(DEC!M_Monat=$E364))</f>
        <v>0</v>
      </c>
      <c r="V364" s="232" cm="1">
        <f t="array" ref="V364">SUMPRODUCT((DEC!M_Verweiszeile=$H364)*DEC!M_ProdN1*(DEC!M_Monat=$E364))</f>
        <v>0</v>
      </c>
      <c r="W364" s="232" cm="1">
        <f t="array" ref="W364">SUMPRODUCT((DEC!M_Verweiszeile=$H364)*DEC!M_ProdN2*(DEC!M_Monat=$E364))</f>
        <v>0</v>
      </c>
      <c r="X364" s="232" cm="1">
        <f t="array" ref="X364">SUMPRODUCT((DEC!M_Verweiszeile=$H364)*DEC!M_Reise*(DEC!M_Monat=$E364))</f>
        <v>0</v>
      </c>
      <c r="Y364" s="232" cm="1">
        <f t="array" ref="Y364">SUMPRODUCT((DEC!M_Verweiszeile=$H364)*DEC!M_Reiseabzug*(DEC!M_Monat=$E364))</f>
        <v>0</v>
      </c>
      <c r="Z364" s="232">
        <f t="shared" si="97"/>
        <v>0</v>
      </c>
      <c r="AA364" s="232">
        <f t="shared" si="87"/>
        <v>0</v>
      </c>
      <c r="AB364" s="232">
        <f t="shared" si="88"/>
        <v>0</v>
      </c>
      <c r="AC364" s="232">
        <f t="shared" si="98"/>
        <v>0</v>
      </c>
      <c r="AD364" s="232">
        <f t="shared" si="99"/>
        <v>0</v>
      </c>
      <c r="AE364" s="232">
        <f t="shared" si="100"/>
        <v>0</v>
      </c>
    </row>
    <row r="365" spans="3:31" s="185" customFormat="1" x14ac:dyDescent="0.2">
      <c r="C365" s="128">
        <v>356</v>
      </c>
      <c r="D365" s="186">
        <f t="shared" si="101"/>
        <v>46378</v>
      </c>
      <c r="E365" s="128">
        <f t="shared" si="89"/>
        <v>12</v>
      </c>
      <c r="F365" s="187">
        <f t="shared" si="90"/>
        <v>46378</v>
      </c>
      <c r="G365" s="128">
        <f t="shared" si="91"/>
        <v>52</v>
      </c>
      <c r="H365" s="128">
        <f t="shared" si="92"/>
        <v>22</v>
      </c>
      <c r="I365" s="128">
        <f t="shared" si="93"/>
        <v>2</v>
      </c>
      <c r="J365" s="188">
        <f t="shared" si="94"/>
        <v>46378</v>
      </c>
      <c r="K365" s="128" t="str" cm="1">
        <f t="array" ref="K365">IF(AND(I365&lt;7,INDEX(B_tblFTMatrix,$E365,$H365)="x"),"ft","")</f>
        <v/>
      </c>
      <c r="L365" s="128"/>
      <c r="M365" s="128"/>
      <c r="N365" s="128">
        <f t="shared" si="85"/>
        <v>1</v>
      </c>
      <c r="O365" s="128">
        <f t="shared" si="95"/>
        <v>1</v>
      </c>
      <c r="P365" s="227">
        <f t="shared" si="86"/>
        <v>8</v>
      </c>
      <c r="Q365" s="229" cm="1">
        <f t="array" ref="Q365">SUMPRODUCT((H_tblBGTage=I365)*(H_tblBGMnt=E365)*H_tblBG%)</f>
        <v>1</v>
      </c>
      <c r="R365" s="227">
        <f t="shared" si="96"/>
        <v>8</v>
      </c>
      <c r="S365" s="233"/>
      <c r="T365" s="233"/>
      <c r="U365" s="232" cm="1">
        <f t="array" ref="U365">SUMPRODUCT((DEC!M_Verweiszeile=$H365)*DEC!M_ProdTag*(DEC!M_Monat=$E365))</f>
        <v>0</v>
      </c>
      <c r="V365" s="232" cm="1">
        <f t="array" ref="V365">SUMPRODUCT((DEC!M_Verweiszeile=$H365)*DEC!M_ProdN1*(DEC!M_Monat=$E365))</f>
        <v>0</v>
      </c>
      <c r="W365" s="232" cm="1">
        <f t="array" ref="W365">SUMPRODUCT((DEC!M_Verweiszeile=$H365)*DEC!M_ProdN2*(DEC!M_Monat=$E365))</f>
        <v>0</v>
      </c>
      <c r="X365" s="232" cm="1">
        <f t="array" ref="X365">SUMPRODUCT((DEC!M_Verweiszeile=$H365)*DEC!M_Reise*(DEC!M_Monat=$E365))</f>
        <v>0</v>
      </c>
      <c r="Y365" s="232" cm="1">
        <f t="array" ref="Y365">SUMPRODUCT((DEC!M_Verweiszeile=$H365)*DEC!M_Reiseabzug*(DEC!M_Monat=$E365))</f>
        <v>0</v>
      </c>
      <c r="Z365" s="232">
        <f t="shared" si="97"/>
        <v>0</v>
      </c>
      <c r="AA365" s="232">
        <f t="shared" si="87"/>
        <v>0</v>
      </c>
      <c r="AB365" s="232">
        <f t="shared" si="88"/>
        <v>0</v>
      </c>
      <c r="AC365" s="232">
        <f t="shared" si="98"/>
        <v>0</v>
      </c>
      <c r="AD365" s="232">
        <f t="shared" si="99"/>
        <v>0</v>
      </c>
      <c r="AE365" s="232">
        <f t="shared" si="100"/>
        <v>0</v>
      </c>
    </row>
    <row r="366" spans="3:31" s="185" customFormat="1" x14ac:dyDescent="0.2">
      <c r="C366" s="128">
        <v>357</v>
      </c>
      <c r="D366" s="186">
        <f t="shared" si="101"/>
        <v>46379</v>
      </c>
      <c r="E366" s="128">
        <f t="shared" si="89"/>
        <v>12</v>
      </c>
      <c r="F366" s="187">
        <f t="shared" si="90"/>
        <v>46379</v>
      </c>
      <c r="G366" s="128">
        <f t="shared" si="91"/>
        <v>52</v>
      </c>
      <c r="H366" s="128">
        <f t="shared" si="92"/>
        <v>23</v>
      </c>
      <c r="I366" s="128">
        <f t="shared" si="93"/>
        <v>3</v>
      </c>
      <c r="J366" s="188">
        <f t="shared" si="94"/>
        <v>46379</v>
      </c>
      <c r="K366" s="128" t="str" cm="1">
        <f t="array" ref="K366">IF(AND(I366&lt;7,INDEX(B_tblFTMatrix,$E366,$H366)="x"),"ft","")</f>
        <v/>
      </c>
      <c r="L366" s="128"/>
      <c r="M366" s="128"/>
      <c r="N366" s="128">
        <f t="shared" si="85"/>
        <v>1</v>
      </c>
      <c r="O366" s="128">
        <f t="shared" si="95"/>
        <v>1</v>
      </c>
      <c r="P366" s="227">
        <f t="shared" si="86"/>
        <v>8</v>
      </c>
      <c r="Q366" s="229" cm="1">
        <f t="array" ref="Q366">SUMPRODUCT((H_tblBGTage=I366)*(H_tblBGMnt=E366)*H_tblBG%)</f>
        <v>1</v>
      </c>
      <c r="R366" s="227">
        <f t="shared" si="96"/>
        <v>8</v>
      </c>
      <c r="S366" s="233"/>
      <c r="T366" s="233"/>
      <c r="U366" s="232" cm="1">
        <f t="array" ref="U366">SUMPRODUCT((DEC!M_Verweiszeile=$H366)*DEC!M_ProdTag*(DEC!M_Monat=$E366))</f>
        <v>0</v>
      </c>
      <c r="V366" s="232" cm="1">
        <f t="array" ref="V366">SUMPRODUCT((DEC!M_Verweiszeile=$H366)*DEC!M_ProdN1*(DEC!M_Monat=$E366))</f>
        <v>0</v>
      </c>
      <c r="W366" s="232" cm="1">
        <f t="array" ref="W366">SUMPRODUCT((DEC!M_Verweiszeile=$H366)*DEC!M_ProdN2*(DEC!M_Monat=$E366))</f>
        <v>0</v>
      </c>
      <c r="X366" s="232" cm="1">
        <f t="array" ref="X366">SUMPRODUCT((DEC!M_Verweiszeile=$H366)*DEC!M_Reise*(DEC!M_Monat=$E366))</f>
        <v>0</v>
      </c>
      <c r="Y366" s="232" cm="1">
        <f t="array" ref="Y366">SUMPRODUCT((DEC!M_Verweiszeile=$H366)*DEC!M_Reiseabzug*(DEC!M_Monat=$E366))</f>
        <v>0</v>
      </c>
      <c r="Z366" s="232">
        <f t="shared" si="97"/>
        <v>0</v>
      </c>
      <c r="AA366" s="232">
        <f t="shared" si="87"/>
        <v>0</v>
      </c>
      <c r="AB366" s="232">
        <f t="shared" si="88"/>
        <v>0</v>
      </c>
      <c r="AC366" s="232">
        <f t="shared" si="98"/>
        <v>0</v>
      </c>
      <c r="AD366" s="232">
        <f t="shared" si="99"/>
        <v>0</v>
      </c>
      <c r="AE366" s="232">
        <f t="shared" si="100"/>
        <v>0</v>
      </c>
    </row>
    <row r="367" spans="3:31" s="185" customFormat="1" x14ac:dyDescent="0.2">
      <c r="C367" s="128">
        <v>358</v>
      </c>
      <c r="D367" s="186">
        <f t="shared" si="101"/>
        <v>46380</v>
      </c>
      <c r="E367" s="128">
        <f t="shared" si="89"/>
        <v>12</v>
      </c>
      <c r="F367" s="187">
        <f t="shared" si="90"/>
        <v>46380</v>
      </c>
      <c r="G367" s="128">
        <f t="shared" si="91"/>
        <v>52</v>
      </c>
      <c r="H367" s="128">
        <f t="shared" si="92"/>
        <v>24</v>
      </c>
      <c r="I367" s="128">
        <f t="shared" si="93"/>
        <v>4</v>
      </c>
      <c r="J367" s="188">
        <f t="shared" si="94"/>
        <v>46380</v>
      </c>
      <c r="K367" s="128" t="str" cm="1">
        <f t="array" ref="K367">IF(AND(I367&lt;7,INDEX(B_tblFTMatrix,$E367,$H367)="x"),"ft","")</f>
        <v>ft</v>
      </c>
      <c r="L367" s="128"/>
      <c r="M367" s="128"/>
      <c r="N367" s="128">
        <f t="shared" si="85"/>
        <v>1</v>
      </c>
      <c r="O367" s="128">
        <f t="shared" si="95"/>
        <v>1</v>
      </c>
      <c r="P367" s="227">
        <f t="shared" si="86"/>
        <v>8</v>
      </c>
      <c r="Q367" s="229" cm="1">
        <f t="array" ref="Q367">SUMPRODUCT((H_tblBGTage=I367)*(H_tblBGMnt=E367)*H_tblBG%)</f>
        <v>1</v>
      </c>
      <c r="R367" s="227">
        <f t="shared" si="96"/>
        <v>8</v>
      </c>
      <c r="S367" s="233"/>
      <c r="T367" s="233"/>
      <c r="U367" s="232" cm="1">
        <f t="array" ref="U367">SUMPRODUCT((DEC!M_Verweiszeile=$H367)*DEC!M_ProdTag*(DEC!M_Monat=$E367))</f>
        <v>0</v>
      </c>
      <c r="V367" s="232" cm="1">
        <f t="array" ref="V367">SUMPRODUCT((DEC!M_Verweiszeile=$H367)*DEC!M_ProdN1*(DEC!M_Monat=$E367))</f>
        <v>0</v>
      </c>
      <c r="W367" s="232" cm="1">
        <f t="array" ref="W367">SUMPRODUCT((DEC!M_Verweiszeile=$H367)*DEC!M_ProdN2*(DEC!M_Monat=$E367))</f>
        <v>0</v>
      </c>
      <c r="X367" s="232" cm="1">
        <f t="array" ref="X367">SUMPRODUCT((DEC!M_Verweiszeile=$H367)*DEC!M_Reise*(DEC!M_Monat=$E367))</f>
        <v>0</v>
      </c>
      <c r="Y367" s="232" cm="1">
        <f t="array" ref="Y367">SUMPRODUCT((DEC!M_Verweiszeile=$H367)*DEC!M_Reiseabzug*(DEC!M_Monat=$E367))</f>
        <v>0</v>
      </c>
      <c r="Z367" s="232">
        <f t="shared" si="97"/>
        <v>0</v>
      </c>
      <c r="AA367" s="232">
        <f t="shared" si="87"/>
        <v>8</v>
      </c>
      <c r="AB367" s="232">
        <f t="shared" si="88"/>
        <v>0</v>
      </c>
      <c r="AC367" s="232">
        <f t="shared" si="98"/>
        <v>0</v>
      </c>
      <c r="AD367" s="232">
        <f t="shared" si="99"/>
        <v>8</v>
      </c>
      <c r="AE367" s="232">
        <f t="shared" si="100"/>
        <v>8</v>
      </c>
    </row>
    <row r="368" spans="3:31" s="185" customFormat="1" x14ac:dyDescent="0.2">
      <c r="C368" s="128">
        <v>359</v>
      </c>
      <c r="D368" s="186">
        <f t="shared" si="101"/>
        <v>46381</v>
      </c>
      <c r="E368" s="128">
        <f t="shared" si="89"/>
        <v>12</v>
      </c>
      <c r="F368" s="187">
        <f t="shared" si="90"/>
        <v>46381</v>
      </c>
      <c r="G368" s="128">
        <f t="shared" si="91"/>
        <v>52</v>
      </c>
      <c r="H368" s="128">
        <f t="shared" si="92"/>
        <v>25</v>
      </c>
      <c r="I368" s="128">
        <f t="shared" si="93"/>
        <v>5</v>
      </c>
      <c r="J368" s="188">
        <f t="shared" si="94"/>
        <v>46381</v>
      </c>
      <c r="K368" s="128" t="str" cm="1">
        <f t="array" ref="K368">IF(AND(I368&lt;7,INDEX(B_tblFTMatrix,$E368,$H368)="x"),"ft","")</f>
        <v>ft</v>
      </c>
      <c r="L368" s="128"/>
      <c r="M368" s="128"/>
      <c r="N368" s="128">
        <f t="shared" si="85"/>
        <v>1</v>
      </c>
      <c r="O368" s="128">
        <f t="shared" si="95"/>
        <v>1</v>
      </c>
      <c r="P368" s="227">
        <f t="shared" si="86"/>
        <v>8</v>
      </c>
      <c r="Q368" s="229" cm="1">
        <f t="array" ref="Q368">SUMPRODUCT((H_tblBGTage=I368)*(H_tblBGMnt=E368)*H_tblBG%)</f>
        <v>1</v>
      </c>
      <c r="R368" s="227">
        <f t="shared" si="96"/>
        <v>8</v>
      </c>
      <c r="S368" s="233"/>
      <c r="T368" s="233"/>
      <c r="U368" s="232" cm="1">
        <f t="array" ref="U368">SUMPRODUCT((DEC!M_Verweiszeile=$H368)*DEC!M_ProdTag*(DEC!M_Monat=$E368))</f>
        <v>0</v>
      </c>
      <c r="V368" s="232" cm="1">
        <f t="array" ref="V368">SUMPRODUCT((DEC!M_Verweiszeile=$H368)*DEC!M_ProdN1*(DEC!M_Monat=$E368))</f>
        <v>0</v>
      </c>
      <c r="W368" s="232" cm="1">
        <f t="array" ref="W368">SUMPRODUCT((DEC!M_Verweiszeile=$H368)*DEC!M_ProdN2*(DEC!M_Monat=$E368))</f>
        <v>0</v>
      </c>
      <c r="X368" s="232" cm="1">
        <f t="array" ref="X368">SUMPRODUCT((DEC!M_Verweiszeile=$H368)*DEC!M_Reise*(DEC!M_Monat=$E368))</f>
        <v>0</v>
      </c>
      <c r="Y368" s="232" cm="1">
        <f t="array" ref="Y368">SUMPRODUCT((DEC!M_Verweiszeile=$H368)*DEC!M_Reiseabzug*(DEC!M_Monat=$E368))</f>
        <v>0</v>
      </c>
      <c r="Z368" s="232">
        <f t="shared" si="97"/>
        <v>0</v>
      </c>
      <c r="AA368" s="232">
        <f t="shared" si="87"/>
        <v>8</v>
      </c>
      <c r="AB368" s="232">
        <f t="shared" si="88"/>
        <v>0</v>
      </c>
      <c r="AC368" s="232">
        <f t="shared" si="98"/>
        <v>0</v>
      </c>
      <c r="AD368" s="232">
        <f t="shared" si="99"/>
        <v>8</v>
      </c>
      <c r="AE368" s="232">
        <f t="shared" si="100"/>
        <v>8</v>
      </c>
    </row>
    <row r="369" spans="3:31" x14ac:dyDescent="0.2">
      <c r="C369" s="128">
        <v>360</v>
      </c>
      <c r="D369" s="186">
        <f t="shared" si="101"/>
        <v>46382</v>
      </c>
      <c r="E369" s="128">
        <f t="shared" si="89"/>
        <v>12</v>
      </c>
      <c r="F369" s="187">
        <f t="shared" si="90"/>
        <v>46382</v>
      </c>
      <c r="G369" s="128">
        <f t="shared" si="91"/>
        <v>52</v>
      </c>
      <c r="H369" s="128">
        <f t="shared" si="92"/>
        <v>26</v>
      </c>
      <c r="I369" s="128">
        <f t="shared" si="93"/>
        <v>6</v>
      </c>
      <c r="J369" s="188">
        <f t="shared" si="94"/>
        <v>46382</v>
      </c>
      <c r="K369" s="128" t="str" cm="1">
        <f t="array" ref="K369">IF(AND(I369&lt;7,INDEX(B_tblFTMatrix,$E369,$H369)="x"),"ft","")</f>
        <v/>
      </c>
      <c r="L369" s="128"/>
      <c r="M369" s="128"/>
      <c r="N369" s="128">
        <f t="shared" si="85"/>
        <v>0</v>
      </c>
      <c r="O369" s="128">
        <f t="shared" si="95"/>
        <v>0</v>
      </c>
      <c r="P369" s="227">
        <f t="shared" si="86"/>
        <v>0</v>
      </c>
      <c r="Q369" s="229" cm="1">
        <f t="array" ref="Q369">SUMPRODUCT((H_tblBGTage=I369)*(H_tblBGMnt=E369)*H_tblBG%)</f>
        <v>0</v>
      </c>
      <c r="R369" s="227">
        <f t="shared" si="96"/>
        <v>0</v>
      </c>
      <c r="S369" s="233"/>
      <c r="T369" s="233"/>
      <c r="U369" s="232" cm="1">
        <f t="array" ref="U369">SUMPRODUCT((DEC!M_Verweiszeile=$H369)*DEC!M_ProdTag*(DEC!M_Monat=$E369))</f>
        <v>0</v>
      </c>
      <c r="V369" s="232" cm="1">
        <f t="array" ref="V369">SUMPRODUCT((DEC!M_Verweiszeile=$H369)*DEC!M_ProdN1*(DEC!M_Monat=$E369))</f>
        <v>0</v>
      </c>
      <c r="W369" s="232" cm="1">
        <f t="array" ref="W369">SUMPRODUCT((DEC!M_Verweiszeile=$H369)*DEC!M_ProdN2*(DEC!M_Monat=$E369))</f>
        <v>0</v>
      </c>
      <c r="X369" s="232" cm="1">
        <f t="array" ref="X369">SUMPRODUCT((DEC!M_Verweiszeile=$H369)*DEC!M_Reise*(DEC!M_Monat=$E369))</f>
        <v>0</v>
      </c>
      <c r="Y369" s="232" cm="1">
        <f t="array" ref="Y369">SUMPRODUCT((DEC!M_Verweiszeile=$H369)*DEC!M_Reiseabzug*(DEC!M_Monat=$E369))</f>
        <v>0</v>
      </c>
      <c r="Z369" s="232">
        <f t="shared" si="97"/>
        <v>0</v>
      </c>
      <c r="AA369" s="232">
        <f t="shared" si="87"/>
        <v>0</v>
      </c>
      <c r="AB369" s="232">
        <f t="shared" si="88"/>
        <v>0</v>
      </c>
      <c r="AC369" s="232">
        <f t="shared" si="98"/>
        <v>0</v>
      </c>
      <c r="AD369" s="232">
        <f t="shared" si="99"/>
        <v>0</v>
      </c>
      <c r="AE369" s="232">
        <f t="shared" si="100"/>
        <v>0</v>
      </c>
    </row>
    <row r="370" spans="3:31" x14ac:dyDescent="0.2">
      <c r="C370" s="128">
        <v>361</v>
      </c>
      <c r="D370" s="186">
        <f t="shared" si="101"/>
        <v>46383</v>
      </c>
      <c r="E370" s="128">
        <f t="shared" si="89"/>
        <v>12</v>
      </c>
      <c r="F370" s="187">
        <f t="shared" si="90"/>
        <v>46383</v>
      </c>
      <c r="G370" s="128">
        <f t="shared" si="91"/>
        <v>52</v>
      </c>
      <c r="H370" s="128">
        <f t="shared" si="92"/>
        <v>27</v>
      </c>
      <c r="I370" s="128">
        <f t="shared" si="93"/>
        <v>7</v>
      </c>
      <c r="J370" s="188">
        <f t="shared" si="94"/>
        <v>46383</v>
      </c>
      <c r="K370" s="128" t="str" cm="1">
        <f t="array" ref="K370">IF(AND(I370&lt;7,INDEX(B_tblFTMatrix,$E370,$H370)="x"),"ft","")</f>
        <v/>
      </c>
      <c r="L370" s="128"/>
      <c r="M370" s="128"/>
      <c r="N370" s="128">
        <f t="shared" si="85"/>
        <v>0</v>
      </c>
      <c r="O370" s="128">
        <f t="shared" si="95"/>
        <v>0</v>
      </c>
      <c r="P370" s="227">
        <f t="shared" si="86"/>
        <v>0</v>
      </c>
      <c r="Q370" s="229" cm="1">
        <f t="array" ref="Q370">SUMPRODUCT((H_tblBGTage=I370)*(H_tblBGMnt=E370)*H_tblBG%)</f>
        <v>0</v>
      </c>
      <c r="R370" s="227">
        <f t="shared" si="96"/>
        <v>0</v>
      </c>
      <c r="S370" s="233"/>
      <c r="T370" s="233"/>
      <c r="U370" s="232" cm="1">
        <f t="array" ref="U370">SUMPRODUCT((DEC!M_Verweiszeile=$H370)*DEC!M_ProdTag*(DEC!M_Monat=$E370))</f>
        <v>0</v>
      </c>
      <c r="V370" s="232" cm="1">
        <f t="array" ref="V370">SUMPRODUCT((DEC!M_Verweiszeile=$H370)*DEC!M_ProdN1*(DEC!M_Monat=$E370))</f>
        <v>0</v>
      </c>
      <c r="W370" s="232" cm="1">
        <f t="array" ref="W370">SUMPRODUCT((DEC!M_Verweiszeile=$H370)*DEC!M_ProdN2*(DEC!M_Monat=$E370))</f>
        <v>0</v>
      </c>
      <c r="X370" s="232" cm="1">
        <f t="array" ref="X370">SUMPRODUCT((DEC!M_Verweiszeile=$H370)*DEC!M_Reise*(DEC!M_Monat=$E370))</f>
        <v>0</v>
      </c>
      <c r="Y370" s="232" cm="1">
        <f t="array" ref="Y370">SUMPRODUCT((DEC!M_Verweiszeile=$H370)*DEC!M_Reiseabzug*(DEC!M_Monat=$E370))</f>
        <v>0</v>
      </c>
      <c r="Z370" s="232">
        <f t="shared" si="97"/>
        <v>0</v>
      </c>
      <c r="AA370" s="232">
        <f t="shared" si="87"/>
        <v>0</v>
      </c>
      <c r="AB370" s="232">
        <f t="shared" si="88"/>
        <v>0</v>
      </c>
      <c r="AC370" s="232">
        <f t="shared" si="98"/>
        <v>0</v>
      </c>
      <c r="AD370" s="232">
        <f t="shared" si="99"/>
        <v>0</v>
      </c>
      <c r="AE370" s="232">
        <f t="shared" si="100"/>
        <v>0</v>
      </c>
    </row>
    <row r="371" spans="3:31" x14ac:dyDescent="0.2">
      <c r="C371" s="128">
        <v>362</v>
      </c>
      <c r="D371" s="186">
        <f t="shared" si="101"/>
        <v>46384</v>
      </c>
      <c r="E371" s="128">
        <f t="shared" si="89"/>
        <v>12</v>
      </c>
      <c r="F371" s="187">
        <f t="shared" si="90"/>
        <v>46384</v>
      </c>
      <c r="G371" s="128">
        <f t="shared" si="91"/>
        <v>53</v>
      </c>
      <c r="H371" s="128">
        <f t="shared" si="92"/>
        <v>28</v>
      </c>
      <c r="I371" s="128">
        <f t="shared" si="93"/>
        <v>1</v>
      </c>
      <c r="J371" s="188">
        <f t="shared" si="94"/>
        <v>46384</v>
      </c>
      <c r="K371" s="128" t="str" cm="1">
        <f t="array" ref="K371">IF(AND(I371&lt;7,INDEX(B_tblFTMatrix,$E371,$H371)="x"),"ft","")</f>
        <v/>
      </c>
      <c r="L371" s="128"/>
      <c r="M371" s="128"/>
      <c r="N371" s="128">
        <f t="shared" si="85"/>
        <v>1</v>
      </c>
      <c r="O371" s="128">
        <f t="shared" si="95"/>
        <v>1</v>
      </c>
      <c r="P371" s="227">
        <f t="shared" si="86"/>
        <v>8</v>
      </c>
      <c r="Q371" s="229" cm="1">
        <f t="array" ref="Q371">SUMPRODUCT((H_tblBGTage=I371)*(H_tblBGMnt=E371)*H_tblBG%)</f>
        <v>1</v>
      </c>
      <c r="R371" s="227">
        <f t="shared" si="96"/>
        <v>8</v>
      </c>
      <c r="S371" s="233"/>
      <c r="T371" s="233"/>
      <c r="U371" s="232" cm="1">
        <f t="array" ref="U371">SUMPRODUCT((DEC!M_Verweiszeile=$H371)*DEC!M_ProdTag*(DEC!M_Monat=$E371))</f>
        <v>0</v>
      </c>
      <c r="V371" s="232" cm="1">
        <f t="array" ref="V371">SUMPRODUCT((DEC!M_Verweiszeile=$H371)*DEC!M_ProdN1*(DEC!M_Monat=$E371))</f>
        <v>0</v>
      </c>
      <c r="W371" s="232" cm="1">
        <f t="array" ref="W371">SUMPRODUCT((DEC!M_Verweiszeile=$H371)*DEC!M_ProdN2*(DEC!M_Monat=$E371))</f>
        <v>0</v>
      </c>
      <c r="X371" s="232" cm="1">
        <f t="array" ref="X371">SUMPRODUCT((DEC!M_Verweiszeile=$H371)*DEC!M_Reise*(DEC!M_Monat=$E371))</f>
        <v>0</v>
      </c>
      <c r="Y371" s="232" cm="1">
        <f t="array" ref="Y371">SUMPRODUCT((DEC!M_Verweiszeile=$H371)*DEC!M_Reiseabzug*(DEC!M_Monat=$E371))</f>
        <v>0</v>
      </c>
      <c r="Z371" s="232">
        <f t="shared" si="97"/>
        <v>0</v>
      </c>
      <c r="AA371" s="232">
        <f t="shared" si="87"/>
        <v>0</v>
      </c>
      <c r="AB371" s="232">
        <f t="shared" si="88"/>
        <v>0</v>
      </c>
      <c r="AC371" s="232">
        <f t="shared" si="98"/>
        <v>0</v>
      </c>
      <c r="AD371" s="232">
        <f t="shared" si="99"/>
        <v>0</v>
      </c>
      <c r="AE371" s="232">
        <f t="shared" si="100"/>
        <v>0</v>
      </c>
    </row>
    <row r="372" spans="3:31" x14ac:dyDescent="0.2">
      <c r="C372" s="128">
        <v>363</v>
      </c>
      <c r="D372" s="186">
        <f t="shared" si="101"/>
        <v>46385</v>
      </c>
      <c r="E372" s="128">
        <f t="shared" si="89"/>
        <v>12</v>
      </c>
      <c r="F372" s="187">
        <f t="shared" si="90"/>
        <v>46385</v>
      </c>
      <c r="G372" s="128">
        <f t="shared" si="91"/>
        <v>53</v>
      </c>
      <c r="H372" s="128">
        <f t="shared" si="92"/>
        <v>29</v>
      </c>
      <c r="I372" s="128">
        <f t="shared" si="93"/>
        <v>2</v>
      </c>
      <c r="J372" s="188">
        <f t="shared" si="94"/>
        <v>46385</v>
      </c>
      <c r="K372" s="128" t="str" cm="1">
        <f t="array" ref="K372">IF(AND(I372&lt;7,INDEX(B_tblFTMatrix,$E372,$H372)="x"),"ft","")</f>
        <v/>
      </c>
      <c r="L372" s="128"/>
      <c r="M372" s="128"/>
      <c r="N372" s="128">
        <f t="shared" si="85"/>
        <v>1</v>
      </c>
      <c r="O372" s="128">
        <f t="shared" si="95"/>
        <v>1</v>
      </c>
      <c r="P372" s="227">
        <f t="shared" si="86"/>
        <v>8</v>
      </c>
      <c r="Q372" s="229" cm="1">
        <f t="array" ref="Q372">SUMPRODUCT((H_tblBGTage=I372)*(H_tblBGMnt=E372)*H_tblBG%)</f>
        <v>1</v>
      </c>
      <c r="R372" s="227">
        <f t="shared" si="96"/>
        <v>8</v>
      </c>
      <c r="S372" s="233"/>
      <c r="T372" s="233"/>
      <c r="U372" s="232" cm="1">
        <f t="array" ref="U372">SUMPRODUCT((DEC!M_Verweiszeile=$H372)*DEC!M_ProdTag*(DEC!M_Monat=$E372))</f>
        <v>0</v>
      </c>
      <c r="V372" s="232" cm="1">
        <f t="array" ref="V372">SUMPRODUCT((DEC!M_Verweiszeile=$H372)*DEC!M_ProdN1*(DEC!M_Monat=$E372))</f>
        <v>0</v>
      </c>
      <c r="W372" s="232" cm="1">
        <f t="array" ref="W372">SUMPRODUCT((DEC!M_Verweiszeile=$H372)*DEC!M_ProdN2*(DEC!M_Monat=$E372))</f>
        <v>0</v>
      </c>
      <c r="X372" s="232" cm="1">
        <f t="array" ref="X372">SUMPRODUCT((DEC!M_Verweiszeile=$H372)*DEC!M_Reise*(DEC!M_Monat=$E372))</f>
        <v>0</v>
      </c>
      <c r="Y372" s="232" cm="1">
        <f t="array" ref="Y372">SUMPRODUCT((DEC!M_Verweiszeile=$H372)*DEC!M_Reiseabzug*(DEC!M_Monat=$E372))</f>
        <v>0</v>
      </c>
      <c r="Z372" s="232">
        <f t="shared" si="97"/>
        <v>0</v>
      </c>
      <c r="AA372" s="232">
        <f t="shared" si="87"/>
        <v>0</v>
      </c>
      <c r="AB372" s="232">
        <f t="shared" si="88"/>
        <v>0</v>
      </c>
      <c r="AC372" s="232">
        <f t="shared" si="98"/>
        <v>0</v>
      </c>
      <c r="AD372" s="232">
        <f t="shared" si="99"/>
        <v>0</v>
      </c>
      <c r="AE372" s="232">
        <f t="shared" si="100"/>
        <v>0</v>
      </c>
    </row>
    <row r="373" spans="3:31" x14ac:dyDescent="0.2">
      <c r="C373" s="128">
        <v>364</v>
      </c>
      <c r="D373" s="186">
        <f t="shared" si="101"/>
        <v>46386</v>
      </c>
      <c r="E373" s="128">
        <f t="shared" si="89"/>
        <v>12</v>
      </c>
      <c r="F373" s="187">
        <f t="shared" si="90"/>
        <v>46386</v>
      </c>
      <c r="G373" s="128">
        <f t="shared" si="91"/>
        <v>53</v>
      </c>
      <c r="H373" s="128">
        <f t="shared" si="92"/>
        <v>30</v>
      </c>
      <c r="I373" s="128">
        <f t="shared" si="93"/>
        <v>3</v>
      </c>
      <c r="J373" s="188">
        <f t="shared" si="94"/>
        <v>46386</v>
      </c>
      <c r="K373" s="128" t="str" cm="1">
        <f t="array" ref="K373">IF(AND(I373&lt;7,INDEX(B_tblFTMatrix,$E373,$H373)="x"),"ft","")</f>
        <v/>
      </c>
      <c r="L373" s="128"/>
      <c r="M373" s="128"/>
      <c r="N373" s="128">
        <f t="shared" si="85"/>
        <v>1</v>
      </c>
      <c r="O373" s="128">
        <f t="shared" si="95"/>
        <v>1</v>
      </c>
      <c r="P373" s="227">
        <f t="shared" si="86"/>
        <v>8</v>
      </c>
      <c r="Q373" s="229" cm="1">
        <f t="array" ref="Q373">SUMPRODUCT((H_tblBGTage=I373)*(H_tblBGMnt=E373)*H_tblBG%)</f>
        <v>1</v>
      </c>
      <c r="R373" s="227">
        <f t="shared" si="96"/>
        <v>8</v>
      </c>
      <c r="S373" s="233"/>
      <c r="T373" s="233"/>
      <c r="U373" s="232" cm="1">
        <f t="array" ref="U373">SUMPRODUCT((DEC!M_Verweiszeile=$H373)*DEC!M_ProdTag*(DEC!M_Monat=$E373))</f>
        <v>0</v>
      </c>
      <c r="V373" s="232" cm="1">
        <f t="array" ref="V373">SUMPRODUCT((DEC!M_Verweiszeile=$H373)*DEC!M_ProdN1*(DEC!M_Monat=$E373))</f>
        <v>0</v>
      </c>
      <c r="W373" s="232" cm="1">
        <f t="array" ref="W373">SUMPRODUCT((DEC!M_Verweiszeile=$H373)*DEC!M_ProdN2*(DEC!M_Monat=$E373))</f>
        <v>0</v>
      </c>
      <c r="X373" s="232" cm="1">
        <f t="array" ref="X373">SUMPRODUCT((DEC!M_Verweiszeile=$H373)*DEC!M_Reise*(DEC!M_Monat=$E373))</f>
        <v>0</v>
      </c>
      <c r="Y373" s="232" cm="1">
        <f t="array" ref="Y373">SUMPRODUCT((DEC!M_Verweiszeile=$H373)*DEC!M_Reiseabzug*(DEC!M_Monat=$E373))</f>
        <v>0</v>
      </c>
      <c r="Z373" s="232">
        <f t="shared" si="97"/>
        <v>0</v>
      </c>
      <c r="AA373" s="232">
        <f t="shared" si="87"/>
        <v>0</v>
      </c>
      <c r="AB373" s="232">
        <f t="shared" si="88"/>
        <v>0</v>
      </c>
      <c r="AC373" s="232">
        <f t="shared" si="98"/>
        <v>0</v>
      </c>
      <c r="AD373" s="232">
        <f t="shared" si="99"/>
        <v>0</v>
      </c>
      <c r="AE373" s="232">
        <f t="shared" si="100"/>
        <v>0</v>
      </c>
    </row>
    <row r="374" spans="3:31" x14ac:dyDescent="0.2">
      <c r="C374" s="128">
        <v>365</v>
      </c>
      <c r="D374" s="186">
        <f t="shared" si="101"/>
        <v>46387</v>
      </c>
      <c r="E374" s="128">
        <f t="shared" si="89"/>
        <v>12</v>
      </c>
      <c r="F374" s="187">
        <f t="shared" si="90"/>
        <v>46387</v>
      </c>
      <c r="G374" s="128">
        <f t="shared" si="91"/>
        <v>53</v>
      </c>
      <c r="H374" s="128">
        <f t="shared" si="92"/>
        <v>31</v>
      </c>
      <c r="I374" s="128">
        <f t="shared" si="93"/>
        <v>4</v>
      </c>
      <c r="J374" s="188">
        <f t="shared" si="94"/>
        <v>46387</v>
      </c>
      <c r="K374" s="128" t="str" cm="1">
        <f t="array" ref="K374">IF(AND(I374&lt;7,INDEX(B_tblFTMatrix,$E374,$H374)="x"),"ft","")</f>
        <v/>
      </c>
      <c r="L374" s="128"/>
      <c r="M374" s="128"/>
      <c r="N374" s="128">
        <f t="shared" si="85"/>
        <v>1</v>
      </c>
      <c r="O374" s="128">
        <f t="shared" si="95"/>
        <v>1</v>
      </c>
      <c r="P374" s="227">
        <f t="shared" si="86"/>
        <v>8</v>
      </c>
      <c r="Q374" s="229" cm="1">
        <f t="array" ref="Q374">SUMPRODUCT((H_tblBGTage=I374)*(H_tblBGMnt=E374)*H_tblBG%)</f>
        <v>1</v>
      </c>
      <c r="R374" s="227">
        <f t="shared" si="96"/>
        <v>8</v>
      </c>
      <c r="S374" s="233"/>
      <c r="T374" s="233"/>
      <c r="U374" s="232" cm="1">
        <f t="array" ref="U374">SUMPRODUCT((DEC!M_Verweiszeile=$H374)*DEC!M_ProdTag*(DEC!M_Monat=$E374))</f>
        <v>0</v>
      </c>
      <c r="V374" s="232" cm="1">
        <f t="array" ref="V374">SUMPRODUCT((DEC!M_Verweiszeile=$H374)*DEC!M_ProdN1*(DEC!M_Monat=$E374))</f>
        <v>0</v>
      </c>
      <c r="W374" s="232" cm="1">
        <f t="array" ref="W374">SUMPRODUCT((DEC!M_Verweiszeile=$H374)*DEC!M_ProdN2*(DEC!M_Monat=$E374))</f>
        <v>0</v>
      </c>
      <c r="X374" s="232" cm="1">
        <f t="array" ref="X374">SUMPRODUCT((DEC!M_Verweiszeile=$H374)*DEC!M_Reise*(DEC!M_Monat=$E374))</f>
        <v>0</v>
      </c>
      <c r="Y374" s="232" cm="1">
        <f t="array" ref="Y374">SUMPRODUCT((DEC!M_Verweiszeile=$H374)*DEC!M_Reiseabzug*(DEC!M_Monat=$E374))</f>
        <v>0</v>
      </c>
      <c r="Z374" s="232">
        <f t="shared" si="97"/>
        <v>0</v>
      </c>
      <c r="AA374" s="232">
        <f t="shared" si="87"/>
        <v>0</v>
      </c>
      <c r="AB374" s="232">
        <f t="shared" si="88"/>
        <v>0</v>
      </c>
      <c r="AC374" s="232">
        <f t="shared" si="98"/>
        <v>0</v>
      </c>
      <c r="AD374" s="232">
        <f t="shared" si="99"/>
        <v>0</v>
      </c>
      <c r="AE374" s="232">
        <f t="shared" si="100"/>
        <v>0</v>
      </c>
    </row>
    <row r="375" spans="3:31" x14ac:dyDescent="0.2">
      <c r="C375" s="128">
        <f>IF(YEAR(D375)&lt;&gt;YEAR(D374),1,366)</f>
        <v>1</v>
      </c>
      <c r="D375" s="186">
        <f t="shared" si="101"/>
        <v>46388</v>
      </c>
      <c r="E375" s="128" t="str">
        <f>IF($C$375&lt;&gt;1,MONTH(D375),"")</f>
        <v/>
      </c>
      <c r="F375" s="187" t="str">
        <f>IF($C$375&lt;&gt;1,D375,"")</f>
        <v/>
      </c>
      <c r="G375" s="128" t="str">
        <f>IF($C$375&lt;&gt;1,_xlfn.ISOWEEKNUM(D375),"")</f>
        <v/>
      </c>
      <c r="H375" s="128" t="str">
        <f>IF($C$375&lt;&gt;1,DAY(D375),"")</f>
        <v/>
      </c>
      <c r="I375" s="128" t="str">
        <f>IF($C$375&lt;&gt;1,WEEKDAY(D375,2),"")</f>
        <v/>
      </c>
      <c r="J375" s="188" t="str">
        <f>IF($C$375&lt;&gt;1,D375,"")</f>
        <v/>
      </c>
      <c r="K375" s="128" t="str" cm="1">
        <f t="array" ref="K375">IF($C$375&lt;&gt;1,IF(AND(I375&lt;7,INDEX(B_tblFTMatrix,$E375,$H375)="x"),"ft",""),"")</f>
        <v/>
      </c>
      <c r="L375" s="128"/>
      <c r="M375" s="128"/>
      <c r="N375" s="128" t="str">
        <f>IF($C$375&lt;&gt;1,IF(I375&lt;6,1,0),"")</f>
        <v/>
      </c>
      <c r="O375" s="128">
        <f t="shared" si="95"/>
        <v>1</v>
      </c>
      <c r="P375" s="227">
        <f>IFERROR(IF(C375&lt;&gt;1,$E$3*N375,0),0)</f>
        <v>0</v>
      </c>
      <c r="Q375" s="229" cm="1">
        <f t="array" ref="Q375">SUMPRODUCT((H_tblBGTage=I375)*(H_tblBGMnt=E375)*H_tblBG%)</f>
        <v>0</v>
      </c>
      <c r="R375" s="227">
        <f t="shared" si="96"/>
        <v>0</v>
      </c>
      <c r="S375" s="233"/>
      <c r="T375" s="233"/>
      <c r="U375" s="311" cm="1">
        <f t="array" ref="U375">SUMPRODUCT((DEC!M_Verweiszeile=$H375)*DEC!M_ProdTag*(DEC!M_Monat=$E375))</f>
        <v>0</v>
      </c>
      <c r="V375" s="232" cm="1">
        <f t="array" ref="V375">SUMPRODUCT((DEC!M_Verweiszeile=$H375)*DEC!M_ProdN1*(DEC!M_Monat=$E375))</f>
        <v>0</v>
      </c>
      <c r="W375" s="232" cm="1">
        <f t="array" ref="W375">SUMPRODUCT((DEC!M_Verweiszeile=$H375)*DEC!M_ProdN2*(DEC!M_Monat=$E375))</f>
        <v>0</v>
      </c>
      <c r="X375" s="232" cm="1">
        <f t="array" ref="X375">SUMPRODUCT((DEC!M_Verweiszeile=$H375)*DEC!M_Reise*(DEC!M_Monat=$E375))</f>
        <v>0</v>
      </c>
      <c r="Y375" s="232" cm="1">
        <f t="array" ref="Y375">SUMPRODUCT((DEC!M_Verweiszeile=$H375)*DEC!M_Reiseabzug*(DEC!M_Monat=$E375))</f>
        <v>0</v>
      </c>
      <c r="Z375" s="232">
        <f t="shared" si="97"/>
        <v>0</v>
      </c>
      <c r="AA375" s="232">
        <f t="shared" si="87"/>
        <v>0</v>
      </c>
      <c r="AB375" s="232">
        <f t="shared" si="88"/>
        <v>0</v>
      </c>
      <c r="AC375" s="232">
        <f t="shared" si="98"/>
        <v>0</v>
      </c>
      <c r="AD375" s="232">
        <f t="shared" si="99"/>
        <v>0</v>
      </c>
      <c r="AE375" s="232">
        <f t="shared" si="100"/>
        <v>0</v>
      </c>
    </row>
    <row r="376" spans="3:31" x14ac:dyDescent="0.2">
      <c r="U376" s="265"/>
    </row>
    <row r="380" spans="3:31" x14ac:dyDescent="0.2">
      <c r="D380" s="189" t="s">
        <v>149</v>
      </c>
      <c r="E380" s="189"/>
    </row>
    <row r="381" spans="3:31" x14ac:dyDescent="0.2">
      <c r="D381" s="190"/>
      <c r="E381" s="190"/>
    </row>
    <row r="382" spans="3:31" x14ac:dyDescent="0.2">
      <c r="D382" s="191">
        <v>1</v>
      </c>
      <c r="E382" s="192">
        <f t="shared" ref="E382:E392" si="102">DATE(A_Jahr,D383,1)-1</f>
        <v>46053</v>
      </c>
    </row>
    <row r="383" spans="3:31" x14ac:dyDescent="0.2">
      <c r="D383" s="191">
        <v>2</v>
      </c>
      <c r="E383" s="192">
        <f t="shared" si="102"/>
        <v>46081</v>
      </c>
    </row>
    <row r="384" spans="3:31" x14ac:dyDescent="0.2">
      <c r="D384" s="191">
        <v>3</v>
      </c>
      <c r="E384" s="192">
        <f t="shared" si="102"/>
        <v>46112</v>
      </c>
    </row>
    <row r="385" spans="4:5" x14ac:dyDescent="0.2">
      <c r="D385" s="191">
        <v>4</v>
      </c>
      <c r="E385" s="192">
        <f t="shared" si="102"/>
        <v>46142</v>
      </c>
    </row>
    <row r="386" spans="4:5" x14ac:dyDescent="0.2">
      <c r="D386" s="191">
        <v>5</v>
      </c>
      <c r="E386" s="192">
        <f t="shared" si="102"/>
        <v>46173</v>
      </c>
    </row>
    <row r="387" spans="4:5" x14ac:dyDescent="0.2">
      <c r="D387" s="191">
        <v>6</v>
      </c>
      <c r="E387" s="192">
        <f t="shared" si="102"/>
        <v>46203</v>
      </c>
    </row>
    <row r="388" spans="4:5" x14ac:dyDescent="0.2">
      <c r="D388" s="191">
        <v>7</v>
      </c>
      <c r="E388" s="192">
        <f t="shared" si="102"/>
        <v>46234</v>
      </c>
    </row>
    <row r="389" spans="4:5" x14ac:dyDescent="0.2">
      <c r="D389" s="191">
        <v>8</v>
      </c>
      <c r="E389" s="192">
        <f t="shared" si="102"/>
        <v>46265</v>
      </c>
    </row>
    <row r="390" spans="4:5" x14ac:dyDescent="0.2">
      <c r="D390" s="191">
        <v>9</v>
      </c>
      <c r="E390" s="192">
        <f t="shared" si="102"/>
        <v>46295</v>
      </c>
    </row>
    <row r="391" spans="4:5" x14ac:dyDescent="0.2">
      <c r="D391" s="191">
        <v>10</v>
      </c>
      <c r="E391" s="192">
        <f t="shared" si="102"/>
        <v>46326</v>
      </c>
    </row>
    <row r="392" spans="4:5" x14ac:dyDescent="0.2">
      <c r="D392" s="191">
        <v>11</v>
      </c>
      <c r="E392" s="192">
        <f t="shared" si="102"/>
        <v>46356</v>
      </c>
    </row>
    <row r="393" spans="4:5" x14ac:dyDescent="0.2">
      <c r="D393" s="191">
        <v>12</v>
      </c>
      <c r="E393" s="192">
        <f>DATE(A_Jahr,12,31)</f>
        <v>46387</v>
      </c>
    </row>
  </sheetData>
  <sheetProtection algorithmName="SHA-512" hashValue="l2IjZgQADU6rLe+uvhf7qW0suATW3Y+MqxdL9GrO/WpST96Ylyj05C6kqozDZUJkqhYPDezPKdUnNLRIYA6xsA==" saltValue="7n0co/U1y9IjAMNQiG2pEw==" spinCount="100000" sheet="1" objects="1" scenarios="1"/>
  <mergeCells count="5">
    <mergeCell ref="AC2:AD2"/>
    <mergeCell ref="C3:D3"/>
    <mergeCell ref="H3:I3"/>
    <mergeCell ref="M3:N3"/>
    <mergeCell ref="M4:N4"/>
  </mergeCells>
  <phoneticPr fontId="68" type="noConversion"/>
  <conditionalFormatting sqref="E10:E37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8740157499999996" bottom="0.78740157499999996" header="0.3" footer="0.3"/>
  <ignoredErrors>
    <ignoredError sqref="X10:X376" formula="1"/>
  </ignoredErrors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1F511-D458-4023-A9A4-BD19D575695B}">
  <sheetPr codeName="sys6">
    <tabColor theme="2"/>
  </sheetPr>
  <dimension ref="B1:X4"/>
  <sheetViews>
    <sheetView workbookViewId="0">
      <selection activeCell="E19" sqref="E19"/>
    </sheetView>
  </sheetViews>
  <sheetFormatPr baseColWidth="10" defaultRowHeight="12.75" x14ac:dyDescent="0.2"/>
  <sheetData>
    <row r="1" spans="2:24" x14ac:dyDescent="0.2">
      <c r="X1" s="55"/>
    </row>
    <row r="2" spans="2:24" s="240" customFormat="1" ht="32.1" customHeight="1" x14ac:dyDescent="0.2">
      <c r="B2" s="240" t="s">
        <v>507</v>
      </c>
    </row>
    <row r="4" spans="2:24" x14ac:dyDescent="0.2">
      <c r="B4" s="305" t="s">
        <v>743</v>
      </c>
    </row>
  </sheetData>
  <sheetProtection algorithmName="SHA-512" hashValue="yE18oWi5Wro4qHaUx/jOEfS0pusGnuar0E8wkZmRGL2Eowqbo4LrfSt8ky6TpqGqsY/fpUquqe1n8YcLJmPXUw==" saltValue="hmCzMF3UKpJH84pVyQjR0w==" spinCount="100000" sheet="1" objects="1" scenarios="1"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7FDB8-AF62-4332-B3CB-B4B283618930}">
  <sheetPr codeName="sys5">
    <tabColor theme="0" tint="-4.9989318521683403E-2"/>
  </sheetPr>
  <dimension ref="B2:AD235"/>
  <sheetViews>
    <sheetView topLeftCell="A34" zoomScale="80" zoomScaleNormal="80" workbookViewId="0">
      <selection activeCell="M49" sqref="M49"/>
    </sheetView>
  </sheetViews>
  <sheetFormatPr baseColWidth="10" defaultColWidth="3.5703125" defaultRowHeight="12.75" x14ac:dyDescent="0.2"/>
  <cols>
    <col min="2" max="2" width="4" customWidth="1"/>
    <col min="3" max="3" width="5.7109375" customWidth="1"/>
    <col min="5" max="5" width="8.7109375" bestFit="1" customWidth="1"/>
    <col min="6" max="8" width="6.140625" customWidth="1"/>
    <col min="9" max="23" width="10.85546875" customWidth="1"/>
    <col min="24" max="25" width="2.85546875" style="55" customWidth="1"/>
    <col min="26" max="26" width="28.5703125" customWidth="1"/>
    <col min="27" max="27" width="33.42578125" customWidth="1"/>
    <col min="28" max="28" width="3.85546875" customWidth="1"/>
    <col min="29" max="59" width="5.140625" customWidth="1"/>
    <col min="60" max="60" width="4.7109375" customWidth="1"/>
    <col min="61" max="64" width="5.140625" customWidth="1"/>
  </cols>
  <sheetData>
    <row r="2" spans="2:28" s="240" customFormat="1" ht="32.1" customHeight="1" x14ac:dyDescent="0.2">
      <c r="B2" s="240" t="s">
        <v>150</v>
      </c>
    </row>
    <row r="3" spans="2:28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2:28" x14ac:dyDescent="0.2">
      <c r="B4" s="510"/>
      <c r="C4" s="509"/>
      <c r="D4" s="511"/>
      <c r="E4" s="11"/>
      <c r="F4" s="46" t="s">
        <v>502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AA4" s="12" t="s">
        <v>525</v>
      </c>
      <c r="AB4" s="488"/>
    </row>
    <row r="5" spans="2:28" x14ac:dyDescent="0.2">
      <c r="B5" s="217"/>
      <c r="C5" s="217"/>
      <c r="D5" s="217"/>
      <c r="E5" s="11"/>
      <c r="F5" s="11"/>
      <c r="G5" s="11"/>
      <c r="H5" s="11"/>
      <c r="I5" s="11"/>
      <c r="J5" s="11"/>
      <c r="K5" s="11"/>
      <c r="AA5" s="12" t="s">
        <v>526</v>
      </c>
      <c r="AB5" s="489"/>
    </row>
    <row r="6" spans="2:28" x14ac:dyDescent="0.2">
      <c r="B6" s="512"/>
      <c r="C6" s="512"/>
      <c r="D6" s="512"/>
    </row>
    <row r="7" spans="2:28" x14ac:dyDescent="0.2">
      <c r="B7" s="513"/>
      <c r="C7" s="514"/>
      <c r="D7" s="515"/>
      <c r="E7" s="11"/>
      <c r="F7" s="46" t="s">
        <v>503</v>
      </c>
      <c r="G7" s="11"/>
      <c r="H7" s="11"/>
      <c r="I7" s="11"/>
      <c r="J7" s="11"/>
      <c r="K7" s="11"/>
      <c r="L7" s="506" t="s">
        <v>543</v>
      </c>
      <c r="M7" s="11"/>
      <c r="N7" s="507"/>
      <c r="O7" s="46" t="s">
        <v>542</v>
      </c>
      <c r="Q7" s="11"/>
      <c r="AA7" s="12" t="s">
        <v>527</v>
      </c>
      <c r="AB7" s="490"/>
    </row>
    <row r="8" spans="2:28" x14ac:dyDescent="0.2">
      <c r="B8" s="217"/>
      <c r="C8" s="217"/>
      <c r="D8" s="217"/>
      <c r="E8" s="11"/>
      <c r="F8" s="11"/>
      <c r="G8" s="11"/>
      <c r="H8" s="11"/>
      <c r="I8" s="11"/>
      <c r="J8" s="11"/>
      <c r="K8" s="11"/>
      <c r="L8" s="11"/>
      <c r="M8" s="11"/>
      <c r="N8" s="508"/>
      <c r="O8" s="12" t="s">
        <v>541</v>
      </c>
      <c r="AA8" s="12" t="s">
        <v>528</v>
      </c>
      <c r="AB8" s="491"/>
    </row>
    <row r="9" spans="2:28" x14ac:dyDescent="0.2">
      <c r="B9" s="512"/>
      <c r="C9" s="512"/>
      <c r="D9" s="512"/>
    </row>
    <row r="10" spans="2:28" x14ac:dyDescent="0.2">
      <c r="B10" s="512"/>
      <c r="C10" s="512"/>
      <c r="D10" s="512"/>
      <c r="Q10" s="11"/>
      <c r="AA10" s="12" t="s">
        <v>529</v>
      </c>
      <c r="AB10" s="492"/>
    </row>
    <row r="11" spans="2:28" x14ac:dyDescent="0.2">
      <c r="B11" s="516"/>
      <c r="C11" s="517"/>
      <c r="D11" s="518"/>
      <c r="E11" s="11"/>
      <c r="F11" s="46" t="s">
        <v>508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2:28" x14ac:dyDescent="0.2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spans="2:28" ht="14.25" x14ac:dyDescent="0.2">
      <c r="B13" s="11"/>
      <c r="C13" s="11"/>
      <c r="D13" s="46" t="s">
        <v>544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9" spans="2:30" ht="15.75" x14ac:dyDescent="0.2">
      <c r="B19" s="655" t="s">
        <v>561</v>
      </c>
      <c r="C19" s="655"/>
      <c r="D19" s="655"/>
      <c r="E19" s="655"/>
      <c r="F19" s="655"/>
      <c r="G19" s="655"/>
      <c r="H19" s="655"/>
      <c r="I19" s="655"/>
      <c r="J19" s="655"/>
      <c r="K19" s="655"/>
      <c r="L19" s="655"/>
      <c r="M19" s="655"/>
      <c r="N19" s="655"/>
      <c r="O19" s="655"/>
      <c r="P19" s="655"/>
      <c r="Q19" s="655"/>
      <c r="R19" s="655"/>
      <c r="S19" s="655"/>
      <c r="T19" s="655"/>
      <c r="U19" s="655"/>
    </row>
    <row r="22" spans="2:30" x14ac:dyDescent="0.2">
      <c r="E22" s="743"/>
      <c r="F22" s="744"/>
      <c r="G22" s="744"/>
      <c r="H22" s="745"/>
      <c r="I22" s="274"/>
      <c r="J22" s="274">
        <v>1</v>
      </c>
      <c r="K22" s="274">
        <v>2</v>
      </c>
      <c r="L22" s="274">
        <v>3</v>
      </c>
      <c r="M22" s="274">
        <v>4</v>
      </c>
      <c r="N22" s="274">
        <v>5</v>
      </c>
      <c r="O22" s="274">
        <v>6</v>
      </c>
      <c r="P22" s="274">
        <v>7</v>
      </c>
      <c r="Q22" s="274">
        <v>8</v>
      </c>
      <c r="R22" s="274">
        <v>9</v>
      </c>
      <c r="S22" s="274">
        <v>10</v>
      </c>
      <c r="T22" s="274">
        <v>11</v>
      </c>
      <c r="U22" s="274">
        <v>12</v>
      </c>
      <c r="V22" s="274"/>
      <c r="W22" s="274"/>
      <c r="X22" s="444"/>
      <c r="Y22" s="444"/>
      <c r="Z22" s="445"/>
      <c r="AA22" s="445" t="s">
        <v>504</v>
      </c>
      <c r="AB22" s="486"/>
      <c r="AD22" s="443" t="s">
        <v>113</v>
      </c>
    </row>
    <row r="23" spans="2:30" x14ac:dyDescent="0.2">
      <c r="E23" s="746"/>
      <c r="F23" s="747"/>
      <c r="G23" s="747"/>
      <c r="H23" s="748"/>
      <c r="I23" s="275" t="s">
        <v>151</v>
      </c>
      <c r="J23" s="275" t="s">
        <v>68</v>
      </c>
      <c r="K23" s="275" t="s">
        <v>69</v>
      </c>
      <c r="L23" s="275" t="s">
        <v>70</v>
      </c>
      <c r="M23" s="275" t="s">
        <v>71</v>
      </c>
      <c r="N23" s="275" t="s">
        <v>72</v>
      </c>
      <c r="O23" s="275" t="s">
        <v>73</v>
      </c>
      <c r="P23" s="275" t="s">
        <v>74</v>
      </c>
      <c r="Q23" s="275" t="s">
        <v>75</v>
      </c>
      <c r="R23" s="275" t="s">
        <v>76</v>
      </c>
      <c r="S23" s="275" t="s">
        <v>77</v>
      </c>
      <c r="T23" s="275" t="s">
        <v>78</v>
      </c>
      <c r="U23" s="275" t="s">
        <v>79</v>
      </c>
      <c r="V23" s="275" t="s">
        <v>545</v>
      </c>
      <c r="W23" s="275" t="s">
        <v>153</v>
      </c>
    </row>
    <row r="24" spans="2:30" x14ac:dyDescent="0.2">
      <c r="E24" s="783" t="s">
        <v>539</v>
      </c>
      <c r="F24" s="786"/>
      <c r="G24" s="786"/>
      <c r="H24" s="787"/>
      <c r="I24" s="306"/>
      <c r="J24" s="264">
        <f>JAN!M_Monat</f>
        <v>1</v>
      </c>
      <c r="K24" s="264">
        <f>FEV!M_Monat</f>
        <v>2</v>
      </c>
      <c r="L24" s="264">
        <f>MAR!M_Monat</f>
        <v>3</v>
      </c>
      <c r="M24" s="264">
        <f>AVR!M_Monat</f>
        <v>4</v>
      </c>
      <c r="N24" s="264">
        <f>MAI!M_Monat</f>
        <v>5</v>
      </c>
      <c r="O24" s="264">
        <f>JUN!M_Monat</f>
        <v>6</v>
      </c>
      <c r="P24" s="264">
        <f>JUL!M_Monat</f>
        <v>7</v>
      </c>
      <c r="Q24" s="264">
        <f>AOÛ!M_Monat</f>
        <v>8</v>
      </c>
      <c r="R24" s="264">
        <f>SEP!M_Monat</f>
        <v>9</v>
      </c>
      <c r="S24" s="264">
        <f>OCT!M_Monat</f>
        <v>10</v>
      </c>
      <c r="T24" s="264">
        <f>NOV!M_Monat</f>
        <v>11</v>
      </c>
      <c r="U24" s="264">
        <f>DEC!M_Monat</f>
        <v>12</v>
      </c>
      <c r="V24" s="307"/>
      <c r="W24" s="306"/>
    </row>
    <row r="25" spans="2:30" x14ac:dyDescent="0.2">
      <c r="E25" s="777" t="s">
        <v>540</v>
      </c>
      <c r="F25" s="778"/>
      <c r="G25" s="778"/>
      <c r="H25" s="779"/>
      <c r="I25" s="306"/>
      <c r="J25" s="306" t="str">
        <f>JAN!$F$17 &amp; " - " &amp;JAN!$AJ$17</f>
        <v>1 - 5</v>
      </c>
      <c r="K25" s="306" t="str">
        <f>FEV!$F$17 &amp; " - " &amp;FEV!$AJ$17</f>
        <v>5 - 10</v>
      </c>
      <c r="L25" s="306" t="str">
        <f>MAR!$F$17 &amp; " - " &amp;MAR!$AJ$17</f>
        <v>9 - 14</v>
      </c>
      <c r="M25" s="306" t="str">
        <f>AVR!$F$17 &amp; " - " &amp;AVR!$AJ$17</f>
        <v>14 - 18</v>
      </c>
      <c r="N25" s="306" t="str">
        <f>MAI!$F$17 &amp; " - " &amp;MAI!$AJ$17</f>
        <v>18 - 22</v>
      </c>
      <c r="O25" s="306" t="str">
        <f>JUN!$F$17 &amp; " - " &amp;JUN!$AJ$17</f>
        <v>23 - 27</v>
      </c>
      <c r="P25" s="306" t="str">
        <f>JUL!$F$17 &amp; " - " &amp;JUL!$AJ$17</f>
        <v>27 - 31</v>
      </c>
      <c r="Q25" s="306" t="str">
        <f>AOÛ!$F$17 &amp; " - " &amp;AOÛ!$AJ$17</f>
        <v>31 - 36</v>
      </c>
      <c r="R25" s="306" t="str">
        <f>SEP!$F$17 &amp; " - " &amp;SEP!$AJ$17</f>
        <v>36 - 40</v>
      </c>
      <c r="S25" s="306" t="str">
        <f>OCT!$F$17 &amp; " - " &amp;OCT!$AJ$17</f>
        <v>40 - 44</v>
      </c>
      <c r="T25" s="306" t="str">
        <f>NOV!$F$17 &amp; " - " &amp;NOV!$AJ$17</f>
        <v>44 - 49</v>
      </c>
      <c r="U25" s="306" t="str">
        <f>DEC!$F$17 &amp; " - " &amp;DEC!$AJ$17</f>
        <v>49 - 53</v>
      </c>
      <c r="V25" s="307"/>
      <c r="W25" s="306"/>
    </row>
    <row r="26" spans="2:30" x14ac:dyDescent="0.2">
      <c r="E26" s="783" t="s">
        <v>549</v>
      </c>
      <c r="F26" s="786"/>
      <c r="G26" s="786"/>
      <c r="H26" s="787"/>
      <c r="I26" s="306"/>
      <c r="J26" s="264">
        <f>JAN!$AL$17</f>
        <v>5</v>
      </c>
      <c r="K26" s="264">
        <f>FEV!$AL$17</f>
        <v>6</v>
      </c>
      <c r="L26" s="264">
        <f>MAR!$AL$17</f>
        <v>6</v>
      </c>
      <c r="M26" s="264">
        <f>AVR!$AL$17</f>
        <v>5</v>
      </c>
      <c r="N26" s="264">
        <f>MAI!$AL$17</f>
        <v>5</v>
      </c>
      <c r="O26" s="264">
        <f>JUN!$AL$17</f>
        <v>5</v>
      </c>
      <c r="P26" s="264">
        <f>JUL!$AL$17</f>
        <v>5</v>
      </c>
      <c r="Q26" s="264">
        <f>AOÛ!$AL$17</f>
        <v>6</v>
      </c>
      <c r="R26" s="264">
        <f>SEP!$AL$17</f>
        <v>5</v>
      </c>
      <c r="S26" s="264">
        <f>OCT!$AL$17</f>
        <v>5</v>
      </c>
      <c r="T26" s="264">
        <f>NOV!$AL$17</f>
        <v>6</v>
      </c>
      <c r="U26" s="264">
        <f>DEC!$AL$17</f>
        <v>5</v>
      </c>
      <c r="V26" s="534">
        <f>DEC!$AJ$17</f>
        <v>53</v>
      </c>
      <c r="W26" s="306"/>
    </row>
    <row r="27" spans="2:30" x14ac:dyDescent="0.2">
      <c r="E27" s="783" t="s">
        <v>548</v>
      </c>
      <c r="F27" s="784"/>
      <c r="G27" s="784"/>
      <c r="H27" s="785"/>
      <c r="I27" s="306"/>
      <c r="J27" s="264">
        <f>JAN!$AL$18</f>
        <v>31</v>
      </c>
      <c r="K27" s="264">
        <f>FEV!$AL$18</f>
        <v>28</v>
      </c>
      <c r="L27" s="264">
        <f>MAR!$AL$18</f>
        <v>31</v>
      </c>
      <c r="M27" s="264">
        <f>AVR!$AL$18</f>
        <v>30</v>
      </c>
      <c r="N27" s="264">
        <f>MAI!$AL$18</f>
        <v>31</v>
      </c>
      <c r="O27" s="264">
        <f>JUN!$AL$18</f>
        <v>30</v>
      </c>
      <c r="P27" s="264">
        <f>JUL!$AL$18</f>
        <v>31</v>
      </c>
      <c r="Q27" s="264">
        <f>AOÛ!$AL$18</f>
        <v>31</v>
      </c>
      <c r="R27" s="264">
        <f>SEP!$AL$18</f>
        <v>30</v>
      </c>
      <c r="S27" s="264">
        <f>OCT!$AL$18</f>
        <v>31</v>
      </c>
      <c r="T27" s="264">
        <f>NOV!$AL$18</f>
        <v>30</v>
      </c>
      <c r="U27" s="264">
        <f>DEC!$AL$18</f>
        <v>31</v>
      </c>
      <c r="V27" s="521">
        <f t="shared" ref="V27" si="0">SUM(J27:U27)</f>
        <v>365</v>
      </c>
      <c r="W27" s="306"/>
    </row>
    <row r="28" spans="2:30" x14ac:dyDescent="0.2">
      <c r="E28" s="783" t="s">
        <v>546</v>
      </c>
      <c r="F28" s="784"/>
      <c r="G28" s="784"/>
      <c r="H28" s="785"/>
      <c r="I28" s="306"/>
      <c r="J28" s="264">
        <f>JAN!$AL$19</f>
        <v>22</v>
      </c>
      <c r="K28" s="264">
        <f>FEV!$AL$19</f>
        <v>20</v>
      </c>
      <c r="L28" s="264">
        <f>MAR!$AL$19</f>
        <v>22</v>
      </c>
      <c r="M28" s="264">
        <f>AVR!$AL$19</f>
        <v>22</v>
      </c>
      <c r="N28" s="264">
        <f>MAI!$AL$19</f>
        <v>21</v>
      </c>
      <c r="O28" s="264">
        <f>JUN!$AL$19</f>
        <v>22</v>
      </c>
      <c r="P28" s="264">
        <f>JUL!$AL$19</f>
        <v>23</v>
      </c>
      <c r="Q28" s="264">
        <f>AOÛ!$AL$19</f>
        <v>21</v>
      </c>
      <c r="R28" s="264">
        <f>SEP!$AL$19</f>
        <v>22</v>
      </c>
      <c r="S28" s="264">
        <f>OCT!$AL$19</f>
        <v>22</v>
      </c>
      <c r="T28" s="264">
        <f>NOV!$AL$19</f>
        <v>21</v>
      </c>
      <c r="U28" s="264">
        <f>DEC!$AL$19</f>
        <v>23</v>
      </c>
      <c r="V28" s="307">
        <f>SUM(J28:U28)/12</f>
        <v>21.75</v>
      </c>
      <c r="W28" s="306"/>
    </row>
    <row r="29" spans="2:30" x14ac:dyDescent="0.2">
      <c r="E29" s="791" t="s">
        <v>567</v>
      </c>
      <c r="F29" s="792"/>
      <c r="G29" s="792"/>
      <c r="H29" s="793"/>
      <c r="I29" s="306"/>
      <c r="J29" s="522" cm="1">
        <f t="array" ref="J29">SUMPRODUCT((WEEKDAY(JAN!M_Daten,2)=1)*1)</f>
        <v>4</v>
      </c>
      <c r="K29" s="264" cm="1">
        <f t="array" ref="K29">SUMPRODUCT((WEEKDAY(FEV!M_Daten,2)=1)*1)</f>
        <v>4</v>
      </c>
      <c r="L29" s="264" cm="1">
        <f t="array" ref="L29">SUMPRODUCT((WEEKDAY(MAR!M_Daten,2)=1)*1)</f>
        <v>5</v>
      </c>
      <c r="M29" s="264" cm="1">
        <f t="array" ref="M29">SUMPRODUCT((WEEKDAY(AVR!M_Daten,2)=1)*1)</f>
        <v>4</v>
      </c>
      <c r="N29" s="264" cm="1">
        <f t="array" ref="N29">SUMPRODUCT((WEEKDAY(MAI!M_Daten,2)=1)*1)</f>
        <v>4</v>
      </c>
      <c r="O29" s="264" cm="1">
        <f t="array" ref="O29">SUMPRODUCT((WEEKDAY(JUN!M_Daten,2)=1)*1)</f>
        <v>5</v>
      </c>
      <c r="P29" s="264" cm="1">
        <f t="array" ref="P29">SUMPRODUCT((WEEKDAY(JUL!M_Daten,2)=1)*1)</f>
        <v>4</v>
      </c>
      <c r="Q29" s="264" cm="1">
        <f t="array" ref="Q29">SUMPRODUCT((WEEKDAY(AOÛ!M_Daten,2)=1)*1)</f>
        <v>5</v>
      </c>
      <c r="R29" s="264" cm="1">
        <f t="array" ref="R29">SUMPRODUCT((WEEKDAY(SEP!M_Daten,2)=1)*1)</f>
        <v>4</v>
      </c>
      <c r="S29" s="264" cm="1">
        <f t="array" ref="S29">SUMPRODUCT((WEEKDAY(OCT!M_Daten,2)=1)*1)</f>
        <v>4</v>
      </c>
      <c r="T29" s="264" cm="1">
        <f t="array" ref="T29">SUMPRODUCT((WEEKDAY(NOV!M_Daten,2)=1)*1)</f>
        <v>5</v>
      </c>
      <c r="U29" s="264" cm="1">
        <f t="array" ref="U29">SUMPRODUCT((WEEKDAY(DEC!M_Daten,2)=1)*1)</f>
        <v>4</v>
      </c>
      <c r="V29" s="307">
        <f>SUM(J29:U29)</f>
        <v>52</v>
      </c>
      <c r="W29" s="306"/>
    </row>
    <row r="30" spans="2:30" x14ac:dyDescent="0.2">
      <c r="E30" s="791" t="s">
        <v>568</v>
      </c>
      <c r="F30" s="794"/>
      <c r="G30" s="794"/>
      <c r="H30" s="795"/>
      <c r="I30" s="306"/>
      <c r="J30" s="264" cm="1">
        <f t="array" ref="J30">SUMPRODUCT((WEEKDAY(JAN!M_Daten,2)=2)*1)</f>
        <v>4</v>
      </c>
      <c r="K30" s="264" cm="1">
        <f t="array" ref="K30">SUMPRODUCT((WEEKDAY(FEV!M_Daten,2)=2)*1)</f>
        <v>4</v>
      </c>
      <c r="L30" s="264" cm="1">
        <f t="array" ref="L30">SUMPRODUCT((WEEKDAY(MAR!M_Daten,2)=2)*1)</f>
        <v>5</v>
      </c>
      <c r="M30" s="264" cm="1">
        <f t="array" ref="M30">SUMPRODUCT((WEEKDAY(AVR!M_Daten,2)=2)*1)</f>
        <v>4</v>
      </c>
      <c r="N30" s="264" cm="1">
        <f t="array" ref="N30">SUMPRODUCT((WEEKDAY(MAI!M_Daten,2)=2)*1)</f>
        <v>4</v>
      </c>
      <c r="O30" s="264" cm="1">
        <f t="array" ref="O30">SUMPRODUCT((WEEKDAY(JUN!M_Daten,2)=2)*1)</f>
        <v>5</v>
      </c>
      <c r="P30" s="264" cm="1">
        <f t="array" ref="P30">SUMPRODUCT((WEEKDAY(JUL!M_Daten,2)=2)*1)</f>
        <v>4</v>
      </c>
      <c r="Q30" s="264" cm="1">
        <f t="array" ref="Q30">SUMPRODUCT((WEEKDAY(AOÛ!M_Daten,2)=2)*1)</f>
        <v>4</v>
      </c>
      <c r="R30" s="264" cm="1">
        <f t="array" ref="R30">SUMPRODUCT((WEEKDAY(SEP!M_Daten,2)=2)*1)</f>
        <v>5</v>
      </c>
      <c r="S30" s="264" cm="1">
        <f t="array" ref="S30">SUMPRODUCT((WEEKDAY(OCT!M_Daten,2)=2)*1)</f>
        <v>4</v>
      </c>
      <c r="T30" s="264" cm="1">
        <f t="array" ref="T30">SUMPRODUCT((WEEKDAY(NOV!M_Daten,2)=2)*1)</f>
        <v>4</v>
      </c>
      <c r="U30" s="264" cm="1">
        <f t="array" ref="U30">SUMPRODUCT((WEEKDAY(DEC!M_Daten,2)=2)*1)</f>
        <v>5</v>
      </c>
      <c r="V30" s="307">
        <f t="shared" ref="V30:V35" si="1">SUM(J30:U30)</f>
        <v>52</v>
      </c>
      <c r="W30" s="306"/>
    </row>
    <row r="31" spans="2:30" x14ac:dyDescent="0.2">
      <c r="E31" s="791" t="s">
        <v>569</v>
      </c>
      <c r="F31" s="794"/>
      <c r="G31" s="794"/>
      <c r="H31" s="795"/>
      <c r="I31" s="306"/>
      <c r="J31" s="264" cm="1">
        <f t="array" ref="J31">SUMPRODUCT((WEEKDAY(JAN!M_Daten,2)=3)*1)</f>
        <v>4</v>
      </c>
      <c r="K31" s="264" cm="1">
        <f t="array" ref="K31">SUMPRODUCT((WEEKDAY(FEV!M_Daten,2)=3)*1)</f>
        <v>4</v>
      </c>
      <c r="L31" s="264" cm="1">
        <f t="array" ref="L31">SUMPRODUCT((WEEKDAY(MAR!M_Daten,2)=3)*1)</f>
        <v>4</v>
      </c>
      <c r="M31" s="264" cm="1">
        <f t="array" ref="M31">SUMPRODUCT((WEEKDAY(AVR!M_Daten,2)=3)*1)</f>
        <v>5</v>
      </c>
      <c r="N31" s="264" cm="1">
        <f t="array" ref="N31">SUMPRODUCT((WEEKDAY(MAI!M_Daten,2)=3)*1)</f>
        <v>4</v>
      </c>
      <c r="O31" s="264" cm="1">
        <f t="array" ref="O31">SUMPRODUCT((WEEKDAY(JUN!M_Daten,2)=3)*1)</f>
        <v>4</v>
      </c>
      <c r="P31" s="264" cm="1">
        <f t="array" ref="P31">SUMPRODUCT((WEEKDAY(JUL!M_Daten,2)=3)*1)</f>
        <v>5</v>
      </c>
      <c r="Q31" s="264" cm="1">
        <f t="array" ref="Q31">SUMPRODUCT((WEEKDAY(AOÛ!M_Daten,2)=3)*1)</f>
        <v>4</v>
      </c>
      <c r="R31" s="264" cm="1">
        <f t="array" ref="R31">SUMPRODUCT((WEEKDAY(SEP!M_Daten,2)=3)*1)</f>
        <v>5</v>
      </c>
      <c r="S31" s="264" cm="1">
        <f t="array" ref="S31">SUMPRODUCT((WEEKDAY(OCT!M_Daten,2)=3)*1)</f>
        <v>4</v>
      </c>
      <c r="T31" s="264" cm="1">
        <f t="array" ref="T31">SUMPRODUCT((WEEKDAY(NOV!M_Daten,2)=3)*1)</f>
        <v>4</v>
      </c>
      <c r="U31" s="264" cm="1">
        <f t="array" ref="U31">SUMPRODUCT((WEEKDAY(DEC!M_Daten,2)=3)*1)</f>
        <v>5</v>
      </c>
      <c r="V31" s="307">
        <f t="shared" si="1"/>
        <v>52</v>
      </c>
      <c r="W31" s="306"/>
    </row>
    <row r="32" spans="2:30" x14ac:dyDescent="0.2">
      <c r="E32" s="791" t="s">
        <v>570</v>
      </c>
      <c r="F32" s="794"/>
      <c r="G32" s="794"/>
      <c r="H32" s="795"/>
      <c r="I32" s="306"/>
      <c r="J32" s="264" cm="1">
        <f t="array" ref="J32">SUMPRODUCT((WEEKDAY(JAN!M_Daten,2)=4)*1)</f>
        <v>5</v>
      </c>
      <c r="K32" s="264" cm="1">
        <f t="array" ref="K32">SUMPRODUCT((WEEKDAY(FEV!M_Daten,2)=4)*1)</f>
        <v>4</v>
      </c>
      <c r="L32" s="264" cm="1">
        <f t="array" ref="L32">SUMPRODUCT((WEEKDAY(MAR!M_Daten,2)=4)*1)</f>
        <v>4</v>
      </c>
      <c r="M32" s="264" cm="1">
        <f t="array" ref="M32">SUMPRODUCT((WEEKDAY(AVR!M_Daten,2)=4)*1)</f>
        <v>5</v>
      </c>
      <c r="N32" s="264" cm="1">
        <f t="array" ref="N32">SUMPRODUCT((WEEKDAY(MAI!M_Daten,2)=4)*1)</f>
        <v>4</v>
      </c>
      <c r="O32" s="264" cm="1">
        <f t="array" ref="O32">SUMPRODUCT((WEEKDAY(JUN!M_Daten,2)=4)*1)</f>
        <v>4</v>
      </c>
      <c r="P32" s="264" cm="1">
        <f t="array" ref="P32">SUMPRODUCT((WEEKDAY(JUL!M_Daten,2)=4)*1)</f>
        <v>5</v>
      </c>
      <c r="Q32" s="264" cm="1">
        <f t="array" ref="Q32">SUMPRODUCT((WEEKDAY(AOÛ!M_Daten,2)=4)*1)</f>
        <v>4</v>
      </c>
      <c r="R32" s="264" cm="1">
        <f t="array" ref="R32">SUMPRODUCT((WEEKDAY(SEP!M_Daten,2)=4)*1)</f>
        <v>4</v>
      </c>
      <c r="S32" s="264" cm="1">
        <f t="array" ref="S32">SUMPRODUCT((WEEKDAY(OCT!M_Daten,2)=4)*1)</f>
        <v>5</v>
      </c>
      <c r="T32" s="264" cm="1">
        <f t="array" ref="T32">SUMPRODUCT((WEEKDAY(NOV!M_Daten,2)=4)*1)</f>
        <v>4</v>
      </c>
      <c r="U32" s="264" cm="1">
        <f t="array" ref="U32">SUMPRODUCT((WEEKDAY(DEC!M_Daten,2)=4)*1)</f>
        <v>5</v>
      </c>
      <c r="V32" s="307">
        <f t="shared" si="1"/>
        <v>53</v>
      </c>
      <c r="W32" s="306"/>
    </row>
    <row r="33" spans="2:30" x14ac:dyDescent="0.2">
      <c r="E33" s="791" t="s">
        <v>571</v>
      </c>
      <c r="F33" s="794"/>
      <c r="G33" s="794"/>
      <c r="H33" s="795"/>
      <c r="I33" s="306"/>
      <c r="J33" s="264" cm="1">
        <f t="array" ref="J33">SUMPRODUCT((WEEKDAY(JAN!M_Daten,2)=5)*1)</f>
        <v>5</v>
      </c>
      <c r="K33" s="264" cm="1">
        <f t="array" ref="K33">SUMPRODUCT((WEEKDAY(FEV!M_Daten,2)=5)*1)</f>
        <v>4</v>
      </c>
      <c r="L33" s="264" cm="1">
        <f t="array" ref="L33">SUMPRODUCT((WEEKDAY(MAR!M_Daten,2)=5)*1)</f>
        <v>4</v>
      </c>
      <c r="M33" s="264" cm="1">
        <f t="array" ref="M33">SUMPRODUCT((WEEKDAY(AVR!M_Daten,2)=5)*1)</f>
        <v>4</v>
      </c>
      <c r="N33" s="264" cm="1">
        <f t="array" ref="N33">SUMPRODUCT((WEEKDAY(MAI!M_Daten,2)=5)*1)</f>
        <v>5</v>
      </c>
      <c r="O33" s="264" cm="1">
        <f t="array" ref="O33">SUMPRODUCT((WEEKDAY(JUN!M_Daten,2)=5)*1)</f>
        <v>4</v>
      </c>
      <c r="P33" s="264" cm="1">
        <f t="array" ref="P33">SUMPRODUCT((WEEKDAY(JUL!M_Daten,2)=5)*1)</f>
        <v>5</v>
      </c>
      <c r="Q33" s="264" cm="1">
        <f t="array" ref="Q33">SUMPRODUCT((WEEKDAY(AOÛ!M_Daten,2)=5)*1)</f>
        <v>4</v>
      </c>
      <c r="R33" s="264" cm="1">
        <f t="array" ref="R33">SUMPRODUCT((WEEKDAY(SEP!M_Daten,2)=5)*1)</f>
        <v>4</v>
      </c>
      <c r="S33" s="264" cm="1">
        <f t="array" ref="S33">SUMPRODUCT((WEEKDAY(OCT!M_Daten,2)=5)*1)</f>
        <v>5</v>
      </c>
      <c r="T33" s="264" cm="1">
        <f t="array" ref="T33">SUMPRODUCT((WEEKDAY(NOV!M_Daten,2)=5)*1)</f>
        <v>4</v>
      </c>
      <c r="U33" s="264" cm="1">
        <f t="array" ref="U33">SUMPRODUCT((WEEKDAY(DEC!M_Daten,2)=5)*1)</f>
        <v>4</v>
      </c>
      <c r="V33" s="307">
        <f t="shared" si="1"/>
        <v>52</v>
      </c>
      <c r="W33" s="306"/>
    </row>
    <row r="34" spans="2:30" x14ac:dyDescent="0.2">
      <c r="E34" s="791" t="s">
        <v>572</v>
      </c>
      <c r="F34" s="794"/>
      <c r="G34" s="794"/>
      <c r="H34" s="795"/>
      <c r="I34" s="306"/>
      <c r="J34" s="264" cm="1">
        <f t="array" ref="J34">SUMPRODUCT((WEEKDAY(JAN!M_Daten,2)=6)*1)</f>
        <v>5</v>
      </c>
      <c r="K34" s="264" cm="1">
        <f t="array" ref="K34">SUMPRODUCT((WEEKDAY(FEV!M_Daten,2)=6)*1)</f>
        <v>7</v>
      </c>
      <c r="L34" s="264" cm="1">
        <f t="array" ref="L34">SUMPRODUCT((WEEKDAY(MAR!M_Daten,2)=6)*1)</f>
        <v>4</v>
      </c>
      <c r="M34" s="264" cm="1">
        <f t="array" ref="M34">SUMPRODUCT((WEEKDAY(AVR!M_Daten,2)=6)*1)</f>
        <v>5</v>
      </c>
      <c r="N34" s="264" cm="1">
        <f t="array" ref="N34">SUMPRODUCT((WEEKDAY(MAI!M_Daten,2)=6)*1)</f>
        <v>5</v>
      </c>
      <c r="O34" s="264" cm="1">
        <f t="array" ref="O34">SUMPRODUCT((WEEKDAY(JUN!M_Daten,2)=6)*1)</f>
        <v>5</v>
      </c>
      <c r="P34" s="264" cm="1">
        <f t="array" ref="P34">SUMPRODUCT((WEEKDAY(JUL!M_Daten,2)=6)*1)</f>
        <v>4</v>
      </c>
      <c r="Q34" s="264" cm="1">
        <f t="array" ref="Q34">SUMPRODUCT((WEEKDAY(AOÛ!M_Daten,2)=6)*1)</f>
        <v>5</v>
      </c>
      <c r="R34" s="264" cm="1">
        <f t="array" ref="R34">SUMPRODUCT((WEEKDAY(SEP!M_Daten,2)=6)*1)</f>
        <v>5</v>
      </c>
      <c r="S34" s="264" cm="1">
        <f t="array" ref="S34">SUMPRODUCT((WEEKDAY(OCT!M_Daten,2)=6)*1)</f>
        <v>5</v>
      </c>
      <c r="T34" s="264" cm="1">
        <f t="array" ref="T34">SUMPRODUCT((WEEKDAY(NOV!M_Daten,2)=6)*1)</f>
        <v>5</v>
      </c>
      <c r="U34" s="264" cm="1">
        <f t="array" ref="U34">SUMPRODUCT((WEEKDAY(DEC!M_Daten,2)=6)*1)</f>
        <v>4</v>
      </c>
      <c r="V34" s="307">
        <f>SUM(J34:U34)</f>
        <v>59</v>
      </c>
      <c r="W34" s="306"/>
    </row>
    <row r="35" spans="2:30" x14ac:dyDescent="0.2">
      <c r="E35" s="791" t="s">
        <v>573</v>
      </c>
      <c r="F35" s="794"/>
      <c r="G35" s="794"/>
      <c r="H35" s="795"/>
      <c r="I35" s="306"/>
      <c r="J35" s="264" cm="1">
        <f t="array" ref="J35">SUMPRODUCT((WEEKDAY(JAN!M_Daten,2)=7)*1)</f>
        <v>4</v>
      </c>
      <c r="K35" s="264" cm="1">
        <f t="array" ref="K35">SUMPRODUCT((WEEKDAY(FEV!M_Daten,2)=7)*1)</f>
        <v>4</v>
      </c>
      <c r="L35" s="264" cm="1">
        <f t="array" ref="L35">SUMPRODUCT((WEEKDAY(MAR!M_Daten,2)=7)*1)</f>
        <v>5</v>
      </c>
      <c r="M35" s="264" cm="1">
        <f t="array" ref="M35">SUMPRODUCT((WEEKDAY(AVR!M_Daten,2)=7)*1)</f>
        <v>4</v>
      </c>
      <c r="N35" s="264" cm="1">
        <f t="array" ref="N35">SUMPRODUCT((WEEKDAY(MAI!M_Daten,2)=7)*1)</f>
        <v>5</v>
      </c>
      <c r="O35" s="264" cm="1">
        <f t="array" ref="O35">SUMPRODUCT((WEEKDAY(JUN!M_Daten,2)=7)*1)</f>
        <v>4</v>
      </c>
      <c r="P35" s="264" cm="1">
        <f t="array" ref="P35">SUMPRODUCT((WEEKDAY(JUL!M_Daten,2)=7)*1)</f>
        <v>4</v>
      </c>
      <c r="Q35" s="264" cm="1">
        <f t="array" ref="Q35">SUMPRODUCT((WEEKDAY(AOÛ!M_Daten,2)=7)*1)</f>
        <v>5</v>
      </c>
      <c r="R35" s="264" cm="1">
        <f t="array" ref="R35">SUMPRODUCT((WEEKDAY(SEP!M_Daten,2)=7)*1)</f>
        <v>4</v>
      </c>
      <c r="S35" s="264" cm="1">
        <f t="array" ref="S35">SUMPRODUCT((WEEKDAY(OCT!M_Daten,2)=7)*1)</f>
        <v>4</v>
      </c>
      <c r="T35" s="264" cm="1">
        <f t="array" ref="T35">SUMPRODUCT((WEEKDAY(NOV!M_Daten,2)=7)*1)</f>
        <v>5</v>
      </c>
      <c r="U35" s="264" cm="1">
        <f t="array" ref="U35">SUMPRODUCT((WEEKDAY(DEC!M_Daten,2)=7)*1)</f>
        <v>4</v>
      </c>
      <c r="V35" s="307">
        <f t="shared" si="1"/>
        <v>52</v>
      </c>
      <c r="W35" s="306"/>
    </row>
    <row r="36" spans="2:30" x14ac:dyDescent="0.2">
      <c r="E36" s="788" t="s">
        <v>605</v>
      </c>
      <c r="F36" s="789"/>
      <c r="G36" s="789"/>
      <c r="H36" s="790"/>
      <c r="I36" s="306"/>
      <c r="J36" s="264"/>
      <c r="K36" s="264"/>
      <c r="L36" s="264"/>
      <c r="M36" s="264"/>
      <c r="N36" s="264"/>
      <c r="O36" s="264"/>
      <c r="P36" s="264"/>
      <c r="Q36" s="264"/>
      <c r="R36" s="264"/>
      <c r="S36" s="264"/>
      <c r="T36" s="264"/>
      <c r="U36" s="264"/>
      <c r="V36" s="307"/>
      <c r="W36" s="306"/>
    </row>
    <row r="37" spans="2:30" x14ac:dyDescent="0.2">
      <c r="E37" s="783" t="s">
        <v>538</v>
      </c>
      <c r="F37" s="784"/>
      <c r="G37" s="784"/>
      <c r="H37" s="785"/>
      <c r="I37" s="306"/>
      <c r="J37" s="306">
        <f>JAN!$AM$18</f>
        <v>176</v>
      </c>
      <c r="K37" s="306">
        <f>FEV!$AM$18</f>
        <v>160</v>
      </c>
      <c r="L37" s="306">
        <f>MAR!$AM$18</f>
        <v>176</v>
      </c>
      <c r="M37" s="306">
        <f>AVR!$AM$18</f>
        <v>176</v>
      </c>
      <c r="N37" s="306">
        <f>MAI!$AM$18</f>
        <v>168</v>
      </c>
      <c r="O37" s="306">
        <f>JUN!$AM$18</f>
        <v>176</v>
      </c>
      <c r="P37" s="306">
        <f>JUL!$AM$18</f>
        <v>184</v>
      </c>
      <c r="Q37" s="306">
        <f>AOÛ!$AM$18</f>
        <v>168</v>
      </c>
      <c r="R37" s="306">
        <f>SEP!$AM$18</f>
        <v>176</v>
      </c>
      <c r="S37" s="306">
        <f>OCT!$AM$18</f>
        <v>176</v>
      </c>
      <c r="T37" s="306">
        <f>NOV!$AM$18</f>
        <v>168</v>
      </c>
      <c r="U37" s="306">
        <f>DEC!$AM$18</f>
        <v>184</v>
      </c>
      <c r="V37" s="307">
        <f>SUM(J37:U37)</f>
        <v>2088</v>
      </c>
      <c r="W37" s="306"/>
    </row>
    <row r="38" spans="2:30" x14ac:dyDescent="0.2">
      <c r="E38" s="780"/>
      <c r="F38" s="781"/>
      <c r="G38" s="781"/>
      <c r="H38" s="782"/>
      <c r="I38" s="306"/>
      <c r="J38" s="306"/>
      <c r="K38" s="306"/>
      <c r="L38" s="306"/>
      <c r="M38" s="306"/>
      <c r="N38" s="306"/>
      <c r="O38" s="306"/>
      <c r="P38" s="306"/>
      <c r="Q38" s="306"/>
      <c r="R38" s="306"/>
      <c r="S38" s="306"/>
      <c r="T38" s="306"/>
      <c r="U38" s="306"/>
      <c r="V38" s="307"/>
      <c r="W38" s="306"/>
    </row>
    <row r="41" spans="2:30" ht="15.75" x14ac:dyDescent="0.2">
      <c r="B41" s="655" t="s">
        <v>562</v>
      </c>
      <c r="C41" s="655"/>
      <c r="D41" s="655"/>
      <c r="E41" s="655"/>
      <c r="F41" s="655"/>
      <c r="G41" s="655"/>
      <c r="H41" s="655"/>
      <c r="I41" s="655"/>
      <c r="J41" s="655"/>
      <c r="K41" s="655"/>
      <c r="L41" s="655"/>
      <c r="M41" s="655"/>
      <c r="N41" s="655"/>
      <c r="O41" s="655"/>
      <c r="P41" s="655"/>
      <c r="Q41" s="655"/>
      <c r="R41" s="655"/>
      <c r="S41" s="655"/>
      <c r="T41" s="655"/>
      <c r="U41" s="655"/>
      <c r="V41" s="317">
        <f>SUM(V29:V35)</f>
        <v>372</v>
      </c>
    </row>
    <row r="42" spans="2:30" x14ac:dyDescent="0.2">
      <c r="B42" s="12" t="s">
        <v>168</v>
      </c>
    </row>
    <row r="44" spans="2:30" x14ac:dyDescent="0.2">
      <c r="E44" s="743"/>
      <c r="F44" s="744"/>
      <c r="G44" s="744"/>
      <c r="H44" s="745"/>
      <c r="I44" s="274"/>
      <c r="J44" s="274">
        <v>1</v>
      </c>
      <c r="K44" s="274">
        <v>2</v>
      </c>
      <c r="L44" s="274">
        <v>3</v>
      </c>
      <c r="M44" s="274">
        <v>4</v>
      </c>
      <c r="N44" s="274">
        <v>5</v>
      </c>
      <c r="O44" s="274">
        <v>6</v>
      </c>
      <c r="P44" s="274">
        <v>7</v>
      </c>
      <c r="Q44" s="274">
        <v>8</v>
      </c>
      <c r="R44" s="274">
        <v>9</v>
      </c>
      <c r="S44" s="274">
        <v>10</v>
      </c>
      <c r="T44" s="274">
        <v>11</v>
      </c>
      <c r="U44" s="274">
        <v>12</v>
      </c>
      <c r="V44" s="274"/>
      <c r="W44" s="274"/>
      <c r="X44" s="444"/>
      <c r="Y44" s="444"/>
      <c r="Z44" s="445"/>
      <c r="AA44" s="445" t="s">
        <v>504</v>
      </c>
      <c r="AB44" s="486"/>
      <c r="AD44" s="443" t="s">
        <v>113</v>
      </c>
    </row>
    <row r="45" spans="2:30" x14ac:dyDescent="0.2">
      <c r="E45" s="746"/>
      <c r="F45" s="747"/>
      <c r="G45" s="747"/>
      <c r="H45" s="748"/>
      <c r="I45" s="275" t="s">
        <v>151</v>
      </c>
      <c r="J45" s="275" t="s">
        <v>68</v>
      </c>
      <c r="K45" s="275" t="s">
        <v>69</v>
      </c>
      <c r="L45" s="275" t="s">
        <v>70</v>
      </c>
      <c r="M45" s="275" t="s">
        <v>71</v>
      </c>
      <c r="N45" s="275" t="s">
        <v>72</v>
      </c>
      <c r="O45" s="275" t="s">
        <v>73</v>
      </c>
      <c r="P45" s="275" t="s">
        <v>74</v>
      </c>
      <c r="Q45" s="275" t="s">
        <v>75</v>
      </c>
      <c r="R45" s="275" t="s">
        <v>76</v>
      </c>
      <c r="S45" s="275" t="s">
        <v>77</v>
      </c>
      <c r="T45" s="275" t="s">
        <v>78</v>
      </c>
      <c r="U45" s="275" t="s">
        <v>79</v>
      </c>
      <c r="V45" s="275" t="s">
        <v>545</v>
      </c>
      <c r="W45" s="275" t="s">
        <v>153</v>
      </c>
    </row>
    <row r="46" spans="2:30" x14ac:dyDescent="0.2">
      <c r="E46" s="757" t="s">
        <v>547</v>
      </c>
      <c r="F46" s="758"/>
      <c r="G46" s="758"/>
      <c r="H46" s="759"/>
      <c r="I46" s="264"/>
      <c r="J46" s="264">
        <f t="shared" ref="J46:T46" si="2">NETWORKDAYS(DATE(A_Jahr,J44,1),DATE(A_Jahr,K44,1)-1)</f>
        <v>22</v>
      </c>
      <c r="K46" s="264">
        <f t="shared" si="2"/>
        <v>20</v>
      </c>
      <c r="L46" s="264">
        <f t="shared" si="2"/>
        <v>22</v>
      </c>
      <c r="M46" s="264">
        <f t="shared" si="2"/>
        <v>22</v>
      </c>
      <c r="N46" s="264">
        <f t="shared" si="2"/>
        <v>21</v>
      </c>
      <c r="O46" s="264">
        <f t="shared" si="2"/>
        <v>22</v>
      </c>
      <c r="P46" s="264">
        <f t="shared" si="2"/>
        <v>23</v>
      </c>
      <c r="Q46" s="264">
        <f t="shared" si="2"/>
        <v>21</v>
      </c>
      <c r="R46" s="264">
        <f t="shared" si="2"/>
        <v>22</v>
      </c>
      <c r="S46" s="264">
        <f t="shared" si="2"/>
        <v>22</v>
      </c>
      <c r="T46" s="264">
        <f t="shared" si="2"/>
        <v>21</v>
      </c>
      <c r="U46" s="264">
        <f>NETWORKDAYS(DATE(A_Jahr,U44,1),DATE(A_Jahr+1,1,1)-1)</f>
        <v>23</v>
      </c>
      <c r="V46" s="276"/>
      <c r="W46" s="264"/>
      <c r="AD46" s="305" t="s">
        <v>169</v>
      </c>
    </row>
    <row r="47" spans="2:30" x14ac:dyDescent="0.2">
      <c r="E47" s="749" t="s">
        <v>550</v>
      </c>
      <c r="F47" s="755"/>
      <c r="G47" s="755"/>
      <c r="H47" s="756"/>
      <c r="I47" s="303"/>
      <c r="J47" s="303">
        <f>H_Basis!$D$62%</f>
        <v>1</v>
      </c>
      <c r="K47" s="303">
        <f>H_Basis!$D$63%</f>
        <v>1</v>
      </c>
      <c r="L47" s="303">
        <f>H_Basis!$D$64%</f>
        <v>1</v>
      </c>
      <c r="M47" s="303">
        <f>H_Basis!$D$65%</f>
        <v>1</v>
      </c>
      <c r="N47" s="303">
        <f>H_Basis!$D$66%</f>
        <v>1</v>
      </c>
      <c r="O47" s="303">
        <f>H_Basis!$D$67%</f>
        <v>1</v>
      </c>
      <c r="P47" s="303">
        <f>H_Basis!$D$68%</f>
        <v>1</v>
      </c>
      <c r="Q47" s="303">
        <f>H_Basis!$D$69%</f>
        <v>1</v>
      </c>
      <c r="R47" s="303">
        <f>H_Basis!$D$70%</f>
        <v>1</v>
      </c>
      <c r="S47" s="303">
        <f>H_Basis!$D$71%</f>
        <v>1</v>
      </c>
      <c r="T47" s="303">
        <f>H_Basis!$D$72%</f>
        <v>1</v>
      </c>
      <c r="U47" s="303">
        <f>H_Basis!$D$73%</f>
        <v>1</v>
      </c>
      <c r="V47" s="302">
        <f>SUM($J$47:$U$47)/12</f>
        <v>1</v>
      </c>
      <c r="W47" s="303"/>
      <c r="AD47" s="305" t="s">
        <v>171</v>
      </c>
    </row>
    <row r="48" spans="2:30" x14ac:dyDescent="0.2">
      <c r="E48" s="749" t="s">
        <v>555</v>
      </c>
      <c r="F48" s="755"/>
      <c r="G48" s="755"/>
      <c r="H48" s="756"/>
      <c r="I48" s="303"/>
      <c r="J48" s="441">
        <f>JAN!$AN$54</f>
        <v>1</v>
      </c>
      <c r="K48" s="441">
        <f>FEV!$AN$54</f>
        <v>1</v>
      </c>
      <c r="L48" s="441">
        <f>MAR!$AN$54</f>
        <v>1</v>
      </c>
      <c r="M48" s="441">
        <f>AVR!$AN$54</f>
        <v>1</v>
      </c>
      <c r="N48" s="441">
        <f>MAI!$AN$54</f>
        <v>1</v>
      </c>
      <c r="O48" s="441">
        <f>JUN!$AN$54</f>
        <v>1</v>
      </c>
      <c r="P48" s="441">
        <f>JUL!$AN$54</f>
        <v>1</v>
      </c>
      <c r="Q48" s="441">
        <f>AOÛ!$AN$54</f>
        <v>1</v>
      </c>
      <c r="R48" s="441">
        <f>SEP!$AN$54</f>
        <v>1</v>
      </c>
      <c r="S48" s="441">
        <f>OCT!$AN$54</f>
        <v>1</v>
      </c>
      <c r="T48" s="441">
        <f>NOV!$AN$54</f>
        <v>1</v>
      </c>
      <c r="U48" s="441">
        <f>DEC!$AN$54</f>
        <v>1</v>
      </c>
      <c r="V48" s="442">
        <f>SUM($J$48:$U$48)/12</f>
        <v>1</v>
      </c>
      <c r="W48" s="303"/>
      <c r="Z48" s="37" t="s">
        <v>553</v>
      </c>
      <c r="AD48" s="305"/>
    </row>
    <row r="49" spans="2:30" x14ac:dyDescent="0.2">
      <c r="E49" s="796" t="s">
        <v>556</v>
      </c>
      <c r="F49" s="778"/>
      <c r="G49" s="778"/>
      <c r="H49" s="779"/>
      <c r="I49" s="303"/>
      <c r="J49" s="441">
        <f>SUM(SUMPRODUCT((H_tblBGTage=1)*(H_tblBGMnt=J44)*H_tblBG%)*SUMPRODUCT((WEEKDAY(JAN!M_Daten,2)=1)*1),
SUMPRODUCT((H_tblBGTage=2)*(H_tblBGMnt=J44)*H_tblBG%)*SUMPRODUCT((WEEKDAY(JAN!M_Daten,2)=2)*1),
SUMPRODUCT((H_tblBGTage=3)*(H_tblBGMnt=J44)*H_tblBG%)*SUMPRODUCT((WEEKDAY(JAN!M_Daten,2)=3)*1),
SUMPRODUCT((H_tblBGTage=4)*(H_tblBGMnt=J44)*H_tblBG%)*SUMPRODUCT((WEEKDAY(JAN!M_Daten,2)=4)*1),
SUMPRODUCT((H_tblBGTage=5)*(H_tblBGMnt=J44)*H_tblBG%)*SUMPRODUCT((WEEKDAY(JAN!M_Daten,2)=5)*1))/J46</f>
        <v>1</v>
      </c>
      <c r="K49" s="441" cm="1">
        <f t="array" ref="K49">SUM(SUMPRODUCT((H_tblBGTage=1)*(H_tblBGMnt=K44)*H_tblBG%)*SUMPRODUCT((WEEKDAY(FEV!M_Daten,2)=1)*1),
SUMPRODUCT((H_tblBGTage=2)*(H_tblBGMnt=K44)*H_tblBG%)*SUMPRODUCT((WEEKDAY(FEV!M_Daten,2)=2)*1),
SUMPRODUCT((H_tblBGTage=3)*(H_tblBGMnt=K44)*H_tblBG%)*SUMPRODUCT((WEEKDAY(FEV!M_Daten,2)=3)*1),
SUMPRODUCT((H_tblBGTage=4)*(H_tblBGMnt=K44)*H_tblBG%)*SUMPRODUCT((WEEKDAY(FEV!M_Daten,2)=4)*1),
SUMPRODUCT((H_tblBGTage=5)*(H_tblBGMnt=K44)*H_tblBG%)*SUMPRODUCT((WEEKDAY(FEV!M_Daten,2)=5)*1))/K46</f>
        <v>1</v>
      </c>
      <c r="L49" s="441" cm="1">
        <f t="array" ref="L49">SUM(SUMPRODUCT((H_tblBGTage=1)*(H_tblBGMnt=L44)*H_tblBG%)*SUMPRODUCT((WEEKDAY(MAR!M_Daten,2)=1)*1),
SUMPRODUCT((H_tblBGTage=2)*(H_tblBGMnt=L44)*H_tblBG%)*SUMPRODUCT((WEEKDAY(MAR!M_Daten,2)=2)*1),
SUMPRODUCT((H_tblBGTage=3)*(H_tblBGMnt=L44)*H_tblBG%)*SUMPRODUCT((WEEKDAY(MAR!M_Daten,2)=3)*1),
SUMPRODUCT((H_tblBGTage=4)*(H_tblBGMnt=L44)*H_tblBG%)*SUMPRODUCT((WEEKDAY(MAR!M_Daten,2)=4)*1),
SUMPRODUCT((H_tblBGTage=5)*(H_tblBGMnt=L44)*H_tblBG%)*SUMPRODUCT((WEEKDAY(MAR!M_Daten,2)=5)*1))/L46</f>
        <v>1</v>
      </c>
      <c r="M49" s="441" cm="1">
        <f t="array" ref="M49">SUM(SUMPRODUCT((H_tblBGTage=1)*(H_tblBGMnt=M44)*H_tblBG%)*SUMPRODUCT((WEEKDAY(AVR!M_Daten,2)=1)*1),
SUMPRODUCT((H_tblBGTage=2)*(H_tblBGMnt=M44)*H_tblBG%)*SUMPRODUCT((WEEKDAY(AVR!M_Daten,2)=2)*1),
SUMPRODUCT((H_tblBGTage=3)*(H_tblBGMnt=M44)*H_tblBG%)*SUMPRODUCT((WEEKDAY(AVR!M_Daten,2)=3)*1),
SUMPRODUCT((H_tblBGTage=4)*(H_tblBGMnt=M44)*H_tblBG%)*SUMPRODUCT((WEEKDAY(AVR!M_Daten,2)=4)*1),
SUMPRODUCT((H_tblBGTage=5)*(H_tblBGMnt=M44)*H_tblBG%)*SUMPRODUCT((WEEKDAY(AVR!M_Daten,2)=5)*1))/M46</f>
        <v>1</v>
      </c>
      <c r="N49" s="441" cm="1">
        <f t="array" ref="N49">SUM(SUMPRODUCT((H_tblBGTage=1)*(H_tblBGMnt=N44)*H_tblBG%)*SUMPRODUCT((WEEKDAY(MAI!M_Daten,2)=1)*1),
SUMPRODUCT((H_tblBGTage=2)*(H_tblBGMnt=N44)*H_tblBG%)*SUMPRODUCT((WEEKDAY(MAI!M_Daten,2)=2)*1),
SUMPRODUCT((H_tblBGTage=3)*(H_tblBGMnt=N44)*H_tblBG%)*SUMPRODUCT((WEEKDAY(MAI!M_Daten,2)=3)*1),
SUMPRODUCT((H_tblBGTage=4)*(H_tblBGMnt=N44)*H_tblBG%)*SUMPRODUCT((WEEKDAY(MAI!M_Daten,2)=4)*1),
SUMPRODUCT((H_tblBGTage=5)*(H_tblBGMnt=N44)*H_tblBG%)*SUMPRODUCT((WEEKDAY(MAI!M_Daten,2)=5)*1))/N46</f>
        <v>1</v>
      </c>
      <c r="O49" s="441" cm="1">
        <f t="array" ref="O49">SUM(SUMPRODUCT((H_tblBGTage=1)*(H_tblBGMnt=O44)*H_tblBG%)*SUMPRODUCT((WEEKDAY(JUN!M_Daten,2)=1)*1),
SUMPRODUCT((H_tblBGTage=2)*(H_tblBGMnt=O44)*H_tblBG%)*SUMPRODUCT((WEEKDAY(JUN!M_Daten,2)=2)*1),
SUMPRODUCT((H_tblBGTage=3)*(H_tblBGMnt=O44)*H_tblBG%)*SUMPRODUCT((WEEKDAY(JUN!M_Daten,2)=3)*1),
SUMPRODUCT((H_tblBGTage=4)*(H_tblBGMnt=O44)*H_tblBG%)*SUMPRODUCT((WEEKDAY(JUN!M_Daten,2)=4)*1),
SUMPRODUCT((H_tblBGTage=5)*(H_tblBGMnt=O44)*H_tblBG%)*SUMPRODUCT((WEEKDAY(JUN!M_Daten,2)=5)*1))/O46</f>
        <v>1</v>
      </c>
      <c r="P49" s="441" cm="1">
        <f t="array" ref="P49">SUM(SUMPRODUCT((H_tblBGTage=1)*(H_tblBGMnt=P44)*H_tblBG%)*SUMPRODUCT((WEEKDAY(JUL!M_Daten,2)=1)*1),
SUMPRODUCT((H_tblBGTage=2)*(H_tblBGMnt=P44)*H_tblBG%)*SUMPRODUCT((WEEKDAY(JUL!M_Daten,2)=2)*1),
SUMPRODUCT((H_tblBGTage=3)*(H_tblBGMnt=P44)*H_tblBG%)*SUMPRODUCT((WEEKDAY(JUL!M_Daten,2)=3)*1),
SUMPRODUCT((H_tblBGTage=4)*(H_tblBGMnt=P44)*H_tblBG%)*SUMPRODUCT((WEEKDAY(JUL!M_Daten,2)=4)*1),
SUMPRODUCT((H_tblBGTage=5)*(H_tblBGMnt=P44)*H_tblBG%)*SUMPRODUCT((WEEKDAY(JUL!M_Daten,2)=5)*1))/P46</f>
        <v>1</v>
      </c>
      <c r="Q49" s="441" cm="1">
        <f t="array" ref="Q49">SUM(SUMPRODUCT((H_tblBGTage=1)*(H_tblBGMnt=Q44)*H_tblBG%)*SUMPRODUCT((WEEKDAY(AOÛ!M_Daten,2)=1)*1),
SUMPRODUCT((H_tblBGTage=2)*(H_tblBGMnt=Q44)*H_tblBG%)*SUMPRODUCT((WEEKDAY(AOÛ!M_Daten,2)=2)*1),
SUMPRODUCT((H_tblBGTage=3)*(H_tblBGMnt=Q44)*H_tblBG%)*SUMPRODUCT((WEEKDAY(AOÛ!M_Daten,2)=3)*1),
SUMPRODUCT((H_tblBGTage=4)*(H_tblBGMnt=Q44)*H_tblBG%)*SUMPRODUCT((WEEKDAY(AOÛ!M_Daten,2)=4)*1),
SUMPRODUCT((H_tblBGTage=5)*(H_tblBGMnt=Q44)*H_tblBG%)*SUMPRODUCT((WEEKDAY(AOÛ!M_Daten,2)=5)*1))/Q46</f>
        <v>1</v>
      </c>
      <c r="R49" s="441" cm="1">
        <f t="array" ref="R49">SUM(SUMPRODUCT((H_tblBGTage=1)*(H_tblBGMnt=R44)*H_tblBG%)*SUMPRODUCT((WEEKDAY(SEP!M_Daten,2)=1)*1),
SUMPRODUCT((H_tblBGTage=2)*(H_tblBGMnt=R44)*H_tblBG%)*SUMPRODUCT((WEEKDAY(SEP!M_Daten,2)=2)*1),
SUMPRODUCT((H_tblBGTage=3)*(H_tblBGMnt=R44)*H_tblBG%)*SUMPRODUCT((WEEKDAY(SEP!M_Daten,2)=3)*1),
SUMPRODUCT((H_tblBGTage=4)*(H_tblBGMnt=R44)*H_tblBG%)*SUMPRODUCT((WEEKDAY(SEP!M_Daten,2)=4)*1),
SUMPRODUCT((H_tblBGTage=5)*(H_tblBGMnt=R44)*H_tblBG%)*SUMPRODUCT((WEEKDAY(SEP!M_Daten,2)=5)*1))/R46</f>
        <v>1</v>
      </c>
      <c r="S49" s="441" cm="1">
        <f t="array" ref="S49">SUM(SUMPRODUCT((H_tblBGTage=1)*(H_tblBGMnt=S44)*H_tblBG%)*SUMPRODUCT((WEEKDAY(OCT!M_Daten,2)=1)*1),
SUMPRODUCT((H_tblBGTage=2)*(H_tblBGMnt=S44)*H_tblBG%)*SUMPRODUCT((WEEKDAY(OCT!M_Daten,2)=2)*1),
SUMPRODUCT((H_tblBGTage=3)*(H_tblBGMnt=S44)*H_tblBG%)*SUMPRODUCT((WEEKDAY(OCT!M_Daten,2)=3)*1),
SUMPRODUCT((H_tblBGTage=4)*(H_tblBGMnt=S44)*H_tblBG%)*SUMPRODUCT((WEEKDAY(OCT!M_Daten,2)=4)*1),
SUMPRODUCT((H_tblBGTage=5)*(H_tblBGMnt=S44)*H_tblBG%)*SUMPRODUCT((WEEKDAY(OCT!M_Daten,2)=5)*1))/S46</f>
        <v>1</v>
      </c>
      <c r="T49" s="441" cm="1">
        <f t="array" ref="T49">SUM(SUMPRODUCT((H_tblBGTage=1)*(H_tblBGMnt=T44)*H_tblBG%)*SUMPRODUCT((WEEKDAY(NOV!M_Daten,2)=1)*1),
SUMPRODUCT((H_tblBGTage=2)*(H_tblBGMnt=T44)*H_tblBG%)*SUMPRODUCT((WEEKDAY(NOV!M_Daten,2)=2)*1),
SUMPRODUCT((H_tblBGTage=3)*(H_tblBGMnt=T44)*H_tblBG%)*SUMPRODUCT((WEEKDAY(NOV!M_Daten,2)=3)*1),
SUMPRODUCT((H_tblBGTage=4)*(H_tblBGMnt=T44)*H_tblBG%)*SUMPRODUCT((WEEKDAY(NOV!M_Daten,2)=4)*1),
SUMPRODUCT((H_tblBGTage=5)*(H_tblBGMnt=T44)*H_tblBG%)*SUMPRODUCT((WEEKDAY(NOV!M_Daten,2)=5)*1))/T46</f>
        <v>1</v>
      </c>
      <c r="U49" s="441" cm="1">
        <f t="array" ref="U49">SUM(SUMPRODUCT((H_tblBGTage=1)*(H_tblBGMnt=U44)*H_tblBG%)*SUMPRODUCT((WEEKDAY(DEC!M_Daten,2)=1)*1),
SUMPRODUCT((H_tblBGTage=2)*(H_tblBGMnt=U44)*H_tblBG%)*SUMPRODUCT((WEEKDAY(DEC!M_Daten,2)=2)*1),
SUMPRODUCT((H_tblBGTage=3)*(H_tblBGMnt=U44)*H_tblBG%)*SUMPRODUCT((WEEKDAY(DEC!M_Daten,2)=3)*1),
SUMPRODUCT((H_tblBGTage=4)*(H_tblBGMnt=U44)*H_tblBG%)*SUMPRODUCT((WEEKDAY(DEC!M_Daten,2)=4)*1),
SUMPRODUCT((H_tblBGTage=5)*(H_tblBGMnt=U44)*H_tblBG%)*SUMPRODUCT((WEEKDAY(DEC!M_Daten,2)=5)*1))/U46</f>
        <v>1</v>
      </c>
      <c r="V49" s="442">
        <f>SUM($J$49:$U$49)/12</f>
        <v>1</v>
      </c>
      <c r="W49" s="303"/>
      <c r="AD49" s="305" t="s">
        <v>172</v>
      </c>
    </row>
    <row r="50" spans="2:30" x14ac:dyDescent="0.2">
      <c r="E50" s="749" t="s">
        <v>551</v>
      </c>
      <c r="F50" s="755"/>
      <c r="G50" s="755"/>
      <c r="H50" s="756"/>
      <c r="I50" s="303"/>
      <c r="J50" s="303">
        <f>JAN!$AM$20</f>
        <v>1</v>
      </c>
      <c r="K50" s="303">
        <f>FEV!$AM$20</f>
        <v>1</v>
      </c>
      <c r="L50" s="303">
        <f>MAR!$AM$20</f>
        <v>1</v>
      </c>
      <c r="M50" s="303">
        <f>AVR!$AM$20</f>
        <v>1</v>
      </c>
      <c r="N50" s="303">
        <f>MAI!$AM$20</f>
        <v>1</v>
      </c>
      <c r="O50" s="303">
        <f>JUN!$AM$20</f>
        <v>1</v>
      </c>
      <c r="P50" s="303">
        <f>JUL!$AM$20</f>
        <v>1</v>
      </c>
      <c r="Q50" s="303">
        <f>AOÛ!$AM$20</f>
        <v>1</v>
      </c>
      <c r="R50" s="303">
        <f>SEP!$AM$20</f>
        <v>1</v>
      </c>
      <c r="S50" s="303">
        <f>OCT!$AM$20</f>
        <v>1</v>
      </c>
      <c r="T50" s="303">
        <f>NOV!$AM$20</f>
        <v>1</v>
      </c>
      <c r="U50" s="303">
        <f>DEC!$AM$20</f>
        <v>1</v>
      </c>
      <c r="V50" s="302">
        <f>SUM($J$50:$U$50)/12</f>
        <v>1</v>
      </c>
      <c r="W50" s="303"/>
      <c r="AD50" s="305" t="s">
        <v>173</v>
      </c>
    </row>
    <row r="51" spans="2:30" x14ac:dyDescent="0.2">
      <c r="E51" s="757" t="s">
        <v>174</v>
      </c>
      <c r="F51" s="758"/>
      <c r="G51" s="758"/>
      <c r="H51" s="759"/>
      <c r="I51" s="303"/>
      <c r="J51" s="303" t="str">
        <f t="shared" ref="J51:U51" si="3">IF(J48&lt;A_fldMinPhoch,"t","h")</f>
        <v>h</v>
      </c>
      <c r="K51" s="303" t="str">
        <f t="shared" si="3"/>
        <v>h</v>
      </c>
      <c r="L51" s="303" t="str">
        <f t="shared" si="3"/>
        <v>h</v>
      </c>
      <c r="M51" s="303" t="str">
        <f t="shared" si="3"/>
        <v>h</v>
      </c>
      <c r="N51" s="303" t="str">
        <f t="shared" si="3"/>
        <v>h</v>
      </c>
      <c r="O51" s="303" t="str">
        <f t="shared" si="3"/>
        <v>h</v>
      </c>
      <c r="P51" s="303" t="str">
        <f t="shared" si="3"/>
        <v>h</v>
      </c>
      <c r="Q51" s="303" t="str">
        <f t="shared" si="3"/>
        <v>h</v>
      </c>
      <c r="R51" s="303" t="str">
        <f t="shared" si="3"/>
        <v>h</v>
      </c>
      <c r="S51" s="303" t="str">
        <f t="shared" si="3"/>
        <v>h</v>
      </c>
      <c r="T51" s="303" t="str">
        <f t="shared" si="3"/>
        <v>h</v>
      </c>
      <c r="U51" s="303" t="str">
        <f t="shared" si="3"/>
        <v>h</v>
      </c>
      <c r="V51" s="519">
        <f>COUNTIFS(J51:U51,"t")</f>
        <v>0</v>
      </c>
      <c r="W51" s="520">
        <f>COUNTIFS(J51:U51,"h")</f>
        <v>12</v>
      </c>
      <c r="AA51" s="12" t="s">
        <v>552</v>
      </c>
    </row>
    <row r="54" spans="2:30" ht="15.75" x14ac:dyDescent="0.2">
      <c r="B54" s="655" t="s">
        <v>332</v>
      </c>
      <c r="C54" s="655"/>
      <c r="D54" s="655"/>
      <c r="E54" s="655"/>
      <c r="F54" s="655"/>
      <c r="G54" s="655"/>
      <c r="H54" s="655"/>
      <c r="I54" s="655"/>
      <c r="J54" s="655"/>
      <c r="K54" s="655"/>
      <c r="L54" s="655"/>
      <c r="M54" s="655"/>
      <c r="N54" s="655"/>
      <c r="O54" s="655"/>
      <c r="P54" s="655"/>
      <c r="Q54" s="655"/>
      <c r="R54" s="655"/>
      <c r="S54" s="655"/>
      <c r="T54" s="655"/>
      <c r="U54" s="655"/>
    </row>
    <row r="55" spans="2:30" x14ac:dyDescent="0.2">
      <c r="B55" s="12"/>
    </row>
    <row r="57" spans="2:30" x14ac:dyDescent="0.2">
      <c r="E57" s="743"/>
      <c r="F57" s="744"/>
      <c r="G57" s="744"/>
      <c r="H57" s="745"/>
      <c r="I57" s="274"/>
      <c r="J57" s="274">
        <v>1</v>
      </c>
      <c r="K57" s="274">
        <v>2</v>
      </c>
      <c r="L57" s="274">
        <v>3</v>
      </c>
      <c r="M57" s="274">
        <v>4</v>
      </c>
      <c r="N57" s="274">
        <v>5</v>
      </c>
      <c r="O57" s="274">
        <v>6</v>
      </c>
      <c r="P57" s="274">
        <v>7</v>
      </c>
      <c r="Q57" s="274">
        <v>8</v>
      </c>
      <c r="R57" s="274">
        <v>9</v>
      </c>
      <c r="S57" s="274">
        <v>10</v>
      </c>
      <c r="T57" s="274">
        <v>11</v>
      </c>
      <c r="U57" s="274">
        <v>12</v>
      </c>
      <c r="V57" s="274"/>
      <c r="W57" s="274"/>
      <c r="X57" s="444"/>
      <c r="Y57" s="444"/>
      <c r="Z57" s="445"/>
      <c r="AA57" s="445" t="s">
        <v>504</v>
      </c>
      <c r="AB57" s="486"/>
      <c r="AD57" s="443" t="s">
        <v>113</v>
      </c>
    </row>
    <row r="58" spans="2:30" x14ac:dyDescent="0.2">
      <c r="E58" s="746"/>
      <c r="F58" s="747"/>
      <c r="G58" s="747"/>
      <c r="H58" s="748"/>
      <c r="I58" s="275" t="s">
        <v>151</v>
      </c>
      <c r="J58" s="275" t="s">
        <v>68</v>
      </c>
      <c r="K58" s="275" t="s">
        <v>69</v>
      </c>
      <c r="L58" s="275" t="s">
        <v>70</v>
      </c>
      <c r="M58" s="275" t="s">
        <v>71</v>
      </c>
      <c r="N58" s="275" t="s">
        <v>72</v>
      </c>
      <c r="O58" s="275" t="s">
        <v>73</v>
      </c>
      <c r="P58" s="275" t="s">
        <v>74</v>
      </c>
      <c r="Q58" s="275" t="s">
        <v>75</v>
      </c>
      <c r="R58" s="275" t="s">
        <v>76</v>
      </c>
      <c r="S58" s="275" t="s">
        <v>77</v>
      </c>
      <c r="T58" s="275" t="s">
        <v>78</v>
      </c>
      <c r="U58" s="275" t="s">
        <v>79</v>
      </c>
      <c r="V58" s="275" t="s">
        <v>545</v>
      </c>
      <c r="W58" s="275" t="s">
        <v>153</v>
      </c>
    </row>
    <row r="59" spans="2:30" x14ac:dyDescent="0.2">
      <c r="E59" s="763" t="s">
        <v>554</v>
      </c>
      <c r="F59" s="764"/>
      <c r="G59" s="764"/>
      <c r="H59" s="765"/>
      <c r="I59" s="306">
        <f>I$37</f>
        <v>0</v>
      </c>
      <c r="J59" s="306">
        <f>J$37</f>
        <v>176</v>
      </c>
      <c r="K59" s="306">
        <f t="shared" ref="K59:W59" si="4">K$37</f>
        <v>160</v>
      </c>
      <c r="L59" s="306">
        <f t="shared" si="4"/>
        <v>176</v>
      </c>
      <c r="M59" s="306">
        <f t="shared" si="4"/>
        <v>176</v>
      </c>
      <c r="N59" s="306">
        <f t="shared" si="4"/>
        <v>168</v>
      </c>
      <c r="O59" s="306">
        <f t="shared" si="4"/>
        <v>176</v>
      </c>
      <c r="P59" s="306">
        <f t="shared" si="4"/>
        <v>184</v>
      </c>
      <c r="Q59" s="306">
        <f t="shared" si="4"/>
        <v>168</v>
      </c>
      <c r="R59" s="306">
        <f t="shared" si="4"/>
        <v>176</v>
      </c>
      <c r="S59" s="306">
        <f t="shared" si="4"/>
        <v>176</v>
      </c>
      <c r="T59" s="306">
        <f t="shared" si="4"/>
        <v>168</v>
      </c>
      <c r="U59" s="306">
        <f t="shared" si="4"/>
        <v>184</v>
      </c>
      <c r="V59" s="307">
        <f t="shared" si="4"/>
        <v>2088</v>
      </c>
      <c r="W59" s="306">
        <f t="shared" si="4"/>
        <v>0</v>
      </c>
      <c r="AD59" s="305" t="s">
        <v>170</v>
      </c>
    </row>
    <row r="60" spans="2:30" x14ac:dyDescent="0.2">
      <c r="E60" s="749" t="s">
        <v>557</v>
      </c>
      <c r="F60" s="755"/>
      <c r="G60" s="755"/>
      <c r="H60" s="756"/>
      <c r="I60" s="306"/>
      <c r="J60" s="306">
        <f>JAN!$AM$19</f>
        <v>176</v>
      </c>
      <c r="K60" s="306">
        <f>FEV!$AM$19</f>
        <v>160</v>
      </c>
      <c r="L60" s="306">
        <f>MAR!$AM$19</f>
        <v>176</v>
      </c>
      <c r="M60" s="306">
        <f>AVR!$AM$19</f>
        <v>176</v>
      </c>
      <c r="N60" s="306">
        <f>MAI!$AM$19</f>
        <v>168</v>
      </c>
      <c r="O60" s="306">
        <f>JUN!$AM$19</f>
        <v>176</v>
      </c>
      <c r="P60" s="306">
        <f>JUL!$AM$19</f>
        <v>184</v>
      </c>
      <c r="Q60" s="306">
        <f>AOÛ!$AM$19</f>
        <v>168</v>
      </c>
      <c r="R60" s="306">
        <f>SEP!$AM$19</f>
        <v>176</v>
      </c>
      <c r="S60" s="306">
        <f>OCT!$AM$19</f>
        <v>176</v>
      </c>
      <c r="T60" s="306">
        <f>NOV!$AM$19</f>
        <v>168</v>
      </c>
      <c r="U60" s="306">
        <f>DEC!$AM$19</f>
        <v>184</v>
      </c>
      <c r="V60" s="307">
        <f>SUM($J$60:$U$60)</f>
        <v>2088</v>
      </c>
      <c r="W60" s="306"/>
      <c r="Z60" s="37" t="s">
        <v>558</v>
      </c>
      <c r="AD60" s="305"/>
    </row>
    <row r="61" spans="2:30" x14ac:dyDescent="0.2">
      <c r="E61" s="763" t="s">
        <v>559</v>
      </c>
      <c r="F61" s="766"/>
      <c r="G61" s="766"/>
      <c r="H61" s="767"/>
      <c r="I61" s="306"/>
      <c r="J61" s="306">
        <f>-$J$60</f>
        <v>-176</v>
      </c>
      <c r="K61" s="306">
        <f>-$K$60</f>
        <v>-160</v>
      </c>
      <c r="L61" s="306">
        <f>-$L$60</f>
        <v>-176</v>
      </c>
      <c r="M61" s="306">
        <f>-$M$60</f>
        <v>-176</v>
      </c>
      <c r="N61" s="306">
        <f>-$N$60</f>
        <v>-168</v>
      </c>
      <c r="O61" s="306">
        <f>-$O$60</f>
        <v>-176</v>
      </c>
      <c r="P61" s="306">
        <f>-$P$60</f>
        <v>-184</v>
      </c>
      <c r="Q61" s="306">
        <f>-$Q$60</f>
        <v>-168</v>
      </c>
      <c r="R61" s="306">
        <f>-$R$60</f>
        <v>-176</v>
      </c>
      <c r="S61" s="306">
        <f>-$S$60</f>
        <v>-176</v>
      </c>
      <c r="T61" s="306">
        <f>-$T$60</f>
        <v>-168</v>
      </c>
      <c r="U61" s="306">
        <f>-$U$60</f>
        <v>-184</v>
      </c>
      <c r="V61" s="307">
        <f>SUM($J$61:$U$61)</f>
        <v>-2088</v>
      </c>
      <c r="W61" s="306"/>
      <c r="AA61" t="s">
        <v>509</v>
      </c>
    </row>
    <row r="62" spans="2:30" x14ac:dyDescent="0.2">
      <c r="E62" s="757" t="s">
        <v>560</v>
      </c>
      <c r="F62" s="761"/>
      <c r="G62" s="761"/>
      <c r="H62" s="762"/>
      <c r="I62" s="306">
        <f>IF(B_fldSaldoVJ&lt;=0,B_fldSaldoVJ,0)</f>
        <v>0</v>
      </c>
      <c r="J62" s="306">
        <f>$I$62+$J$61</f>
        <v>-176</v>
      </c>
      <c r="K62" s="306">
        <f>$J$62+$K$61</f>
        <v>-336</v>
      </c>
      <c r="L62" s="306">
        <f>$K$62+$L$61</f>
        <v>-512</v>
      </c>
      <c r="M62" s="306">
        <f>$L$62+$M$61</f>
        <v>-688</v>
      </c>
      <c r="N62" s="306">
        <f>$M$62+$N$61</f>
        <v>-856</v>
      </c>
      <c r="O62" s="306">
        <f>$N$62+$O$61</f>
        <v>-1032</v>
      </c>
      <c r="P62" s="306">
        <f>$O$62+$P$61</f>
        <v>-1216</v>
      </c>
      <c r="Q62" s="306">
        <f>$P$62+$Q$61</f>
        <v>-1384</v>
      </c>
      <c r="R62" s="306">
        <f>$Q$62+$R$61</f>
        <v>-1560</v>
      </c>
      <c r="S62" s="306">
        <f>$R$62+$S$61</f>
        <v>-1736</v>
      </c>
      <c r="T62" s="306">
        <f>$S$62+$T$61</f>
        <v>-1904</v>
      </c>
      <c r="U62" s="306">
        <f>$T$62+$U$61</f>
        <v>-2088</v>
      </c>
      <c r="V62" s="549">
        <f>$U$62</f>
        <v>-2088</v>
      </c>
      <c r="W62" s="306"/>
    </row>
    <row r="67" spans="2:30" ht="13.5" thickBot="1" x14ac:dyDescent="0.25">
      <c r="B67" s="540"/>
      <c r="C67" s="540"/>
      <c r="D67" s="540"/>
      <c r="E67" s="540"/>
      <c r="F67" s="540"/>
      <c r="G67" s="540"/>
      <c r="H67" s="540"/>
      <c r="I67" s="540"/>
      <c r="J67" s="540"/>
      <c r="K67" s="540"/>
      <c r="L67" s="540"/>
      <c r="M67" s="540"/>
      <c r="N67" s="540"/>
      <c r="O67" s="540"/>
      <c r="P67" s="540"/>
      <c r="Q67" s="540"/>
      <c r="R67" s="540"/>
      <c r="S67" s="540"/>
      <c r="T67" s="540"/>
      <c r="U67" s="540"/>
      <c r="V67" s="540"/>
      <c r="W67" s="540"/>
      <c r="X67" s="541"/>
      <c r="Y67" s="541"/>
      <c r="Z67" s="540"/>
      <c r="AA67" s="540"/>
      <c r="AB67" s="540"/>
      <c r="AC67" s="540"/>
      <c r="AD67" s="305" t="s">
        <v>594</v>
      </c>
    </row>
    <row r="68" spans="2:30" ht="13.5" thickTop="1" x14ac:dyDescent="0.2"/>
    <row r="72" spans="2:30" ht="15.75" x14ac:dyDescent="0.2">
      <c r="B72" s="655" t="s">
        <v>333</v>
      </c>
      <c r="C72" s="655"/>
      <c r="D72" s="655"/>
      <c r="E72" s="655"/>
      <c r="F72" s="655"/>
      <c r="G72" s="655"/>
      <c r="H72" s="655"/>
      <c r="I72" s="655"/>
      <c r="J72" s="655"/>
      <c r="K72" s="655"/>
      <c r="L72" s="655"/>
      <c r="M72" s="655"/>
      <c r="N72" s="655"/>
      <c r="O72" s="655"/>
      <c r="P72" s="655"/>
      <c r="Q72" s="655"/>
      <c r="R72" s="655"/>
      <c r="S72" s="655"/>
      <c r="T72" s="655"/>
      <c r="U72" s="655"/>
    </row>
    <row r="75" spans="2:30" x14ac:dyDescent="0.2">
      <c r="E75" s="743"/>
      <c r="F75" s="744"/>
      <c r="G75" s="744"/>
      <c r="H75" s="745"/>
      <c r="I75" s="274"/>
      <c r="J75" s="274">
        <v>1</v>
      </c>
      <c r="K75" s="274">
        <v>2</v>
      </c>
      <c r="L75" s="274">
        <v>3</v>
      </c>
      <c r="M75" s="274">
        <v>4</v>
      </c>
      <c r="N75" s="274">
        <v>5</v>
      </c>
      <c r="O75" s="274">
        <v>6</v>
      </c>
      <c r="P75" s="274">
        <v>7</v>
      </c>
      <c r="Q75" s="274">
        <v>8</v>
      </c>
      <c r="R75" s="274">
        <v>9</v>
      </c>
      <c r="S75" s="274">
        <v>10</v>
      </c>
      <c r="T75" s="274">
        <v>11</v>
      </c>
      <c r="U75" s="274">
        <v>12</v>
      </c>
      <c r="V75" s="274"/>
      <c r="W75" s="274"/>
      <c r="X75" s="444"/>
      <c r="Y75" s="444"/>
      <c r="Z75" s="445"/>
      <c r="AA75" s="445" t="s">
        <v>504</v>
      </c>
      <c r="AB75" s="486"/>
      <c r="AD75" s="443" t="s">
        <v>113</v>
      </c>
    </row>
    <row r="76" spans="2:30" x14ac:dyDescent="0.2">
      <c r="E76" s="746"/>
      <c r="F76" s="747"/>
      <c r="G76" s="747"/>
      <c r="H76" s="748"/>
      <c r="I76" s="275" t="s">
        <v>151</v>
      </c>
      <c r="J76" s="275" t="s">
        <v>68</v>
      </c>
      <c r="K76" s="275" t="s">
        <v>69</v>
      </c>
      <c r="L76" s="275" t="s">
        <v>70</v>
      </c>
      <c r="M76" s="275" t="s">
        <v>71</v>
      </c>
      <c r="N76" s="275" t="s">
        <v>72</v>
      </c>
      <c r="O76" s="275" t="s">
        <v>73</v>
      </c>
      <c r="P76" s="275" t="s">
        <v>74</v>
      </c>
      <c r="Q76" s="275" t="s">
        <v>75</v>
      </c>
      <c r="R76" s="275" t="s">
        <v>76</v>
      </c>
      <c r="S76" s="275" t="s">
        <v>77</v>
      </c>
      <c r="T76" s="275" t="s">
        <v>78</v>
      </c>
      <c r="U76" s="275" t="s">
        <v>79</v>
      </c>
      <c r="V76" s="275" t="s">
        <v>545</v>
      </c>
      <c r="W76" s="275" t="s">
        <v>153</v>
      </c>
    </row>
    <row r="77" spans="2:30" x14ac:dyDescent="0.2">
      <c r="E77" s="749" t="s">
        <v>154</v>
      </c>
      <c r="F77" s="750"/>
      <c r="G77" s="750"/>
      <c r="H77" s="751"/>
      <c r="I77" s="306"/>
      <c r="W77" s="306"/>
      <c r="AA77" t="s">
        <v>510</v>
      </c>
      <c r="AB77" s="493"/>
    </row>
    <row r="78" spans="2:30" x14ac:dyDescent="0.2">
      <c r="E78" s="749" t="s">
        <v>155</v>
      </c>
      <c r="F78" s="750"/>
      <c r="G78" s="750"/>
      <c r="H78" s="751"/>
      <c r="I78" s="306"/>
      <c r="W78" s="306"/>
      <c r="AA78" t="s">
        <v>511</v>
      </c>
      <c r="AB78" s="493"/>
    </row>
    <row r="79" spans="2:30" x14ac:dyDescent="0.2">
      <c r="E79" s="749" t="s">
        <v>156</v>
      </c>
      <c r="F79" s="750"/>
      <c r="G79" s="750"/>
      <c r="H79" s="751"/>
      <c r="I79" s="306"/>
      <c r="J79" s="306">
        <f>JAN!$AL$23</f>
        <v>0</v>
      </c>
      <c r="K79" s="306">
        <f>FEV!$AL$23</f>
        <v>0</v>
      </c>
      <c r="L79" s="306">
        <f>MAR!$AL$23</f>
        <v>0</v>
      </c>
      <c r="M79" s="306">
        <f>AVR!$AL$23</f>
        <v>0</v>
      </c>
      <c r="N79" s="306">
        <f>MAI!$AL$23</f>
        <v>0</v>
      </c>
      <c r="O79" s="306">
        <f>JUN!$AL$23</f>
        <v>0</v>
      </c>
      <c r="P79" s="306">
        <f>JUL!$AL$23</f>
        <v>0</v>
      </c>
      <c r="Q79" s="306">
        <f>AOÛ!$AL$23</f>
        <v>0</v>
      </c>
      <c r="R79" s="306">
        <f>SEP!$AL$23</f>
        <v>0</v>
      </c>
      <c r="S79" s="306">
        <f>OCT!$AL$23</f>
        <v>0</v>
      </c>
      <c r="T79" s="306">
        <f>NOV!$AL$23</f>
        <v>0</v>
      </c>
      <c r="U79" s="306">
        <f>DEC!$AL$23</f>
        <v>0</v>
      </c>
      <c r="V79" s="307">
        <f>SUM($J$79:$U$79)</f>
        <v>0</v>
      </c>
      <c r="W79" s="306"/>
      <c r="AA79" t="s">
        <v>512</v>
      </c>
      <c r="AB79" s="493"/>
    </row>
    <row r="80" spans="2:30" x14ac:dyDescent="0.2">
      <c r="E80" s="749" t="s">
        <v>157</v>
      </c>
      <c r="F80" s="755"/>
      <c r="G80" s="755"/>
      <c r="H80" s="756"/>
      <c r="I80" s="306"/>
      <c r="J80" s="306">
        <f>JAN!$AL$25</f>
        <v>0</v>
      </c>
      <c r="K80" s="306">
        <f>FEV!$AL$25</f>
        <v>0</v>
      </c>
      <c r="L80" s="306">
        <f>MAR!$AL$25</f>
        <v>0</v>
      </c>
      <c r="M80" s="306">
        <f>AVR!$AL$25</f>
        <v>0</v>
      </c>
      <c r="N80" s="306">
        <f>MAI!$AL$25</f>
        <v>0</v>
      </c>
      <c r="O80" s="306">
        <f>JUN!$AL$25</f>
        <v>0</v>
      </c>
      <c r="P80" s="306">
        <f>JUL!$AL$25</f>
        <v>0</v>
      </c>
      <c r="Q80" s="306">
        <f>AOÛ!$AL$25</f>
        <v>0</v>
      </c>
      <c r="R80" s="306">
        <f>SEP!$AL$25</f>
        <v>0</v>
      </c>
      <c r="S80" s="306">
        <f>OCT!$AL$25</f>
        <v>0</v>
      </c>
      <c r="T80" s="306">
        <f>NOV!$AL$25</f>
        <v>0</v>
      </c>
      <c r="U80" s="306">
        <f>DEC!$AL$25</f>
        <v>0</v>
      </c>
      <c r="V80" s="307">
        <f>SUM($J$80:$U$80)</f>
        <v>0</v>
      </c>
      <c r="W80" s="306"/>
      <c r="AA80" t="s">
        <v>514</v>
      </c>
      <c r="AB80" s="493"/>
    </row>
    <row r="81" spans="5:30" x14ac:dyDescent="0.2">
      <c r="E81" s="757" t="s">
        <v>158</v>
      </c>
      <c r="F81" s="758"/>
      <c r="G81" s="758"/>
      <c r="H81" s="759"/>
      <c r="I81" s="306"/>
      <c r="J81" s="306">
        <f>SUM($J$79:$J$80)</f>
        <v>0</v>
      </c>
      <c r="K81" s="306">
        <f>SUM($K$79:$K$80)</f>
        <v>0</v>
      </c>
      <c r="L81" s="306">
        <f>SUM($L$79:$L$80)</f>
        <v>0</v>
      </c>
      <c r="M81" s="306">
        <f>SUM($M$79:$M$80)</f>
        <v>0</v>
      </c>
      <c r="N81" s="306">
        <f>SUM($N$79:$N$80)</f>
        <v>0</v>
      </c>
      <c r="O81" s="306">
        <f>SUM($O$79:$O$80)</f>
        <v>0</v>
      </c>
      <c r="P81" s="306">
        <f>SUM($P$79:$P$80)</f>
        <v>0</v>
      </c>
      <c r="Q81" s="306">
        <f>SUM($Q$79:$Q$80)</f>
        <v>0</v>
      </c>
      <c r="R81" s="306">
        <f>SUM($R$79:$R$80)</f>
        <v>0</v>
      </c>
      <c r="S81" s="306">
        <f>SUM($S$79:$S$80)</f>
        <v>0</v>
      </c>
      <c r="T81" s="306">
        <f>SUM($T$79:$T$80)</f>
        <v>0</v>
      </c>
      <c r="U81" s="306">
        <f>SUM($U$79:$U$80)</f>
        <v>0</v>
      </c>
      <c r="V81" s="307">
        <f>SUM($J$81:$U$81)</f>
        <v>0</v>
      </c>
      <c r="W81" s="306"/>
    </row>
    <row r="82" spans="5:30" x14ac:dyDescent="0.2">
      <c r="E82" s="749" t="s">
        <v>159</v>
      </c>
      <c r="F82" s="755"/>
      <c r="G82" s="755"/>
      <c r="H82" s="756"/>
      <c r="I82" s="306"/>
      <c r="J82" s="306">
        <f>JAN!$AL$24</f>
        <v>0</v>
      </c>
      <c r="K82" s="306">
        <f>FEV!$AL$24</f>
        <v>0</v>
      </c>
      <c r="L82" s="306">
        <f>MAR!$AL$24</f>
        <v>0</v>
      </c>
      <c r="M82" s="306">
        <f>AVR!$AL$24</f>
        <v>0</v>
      </c>
      <c r="N82" s="306">
        <f>MAI!$AL$24</f>
        <v>0</v>
      </c>
      <c r="O82" s="306">
        <f>JUN!$AL$24</f>
        <v>0</v>
      </c>
      <c r="P82" s="306">
        <f>JUL!$AL$24</f>
        <v>0</v>
      </c>
      <c r="Q82" s="306">
        <f>AOÛ!$AL$24</f>
        <v>0</v>
      </c>
      <c r="R82" s="306">
        <f>SEP!$AL$24</f>
        <v>0</v>
      </c>
      <c r="S82" s="306">
        <f>OCT!$AL$24</f>
        <v>0</v>
      </c>
      <c r="T82" s="306">
        <f>NOV!$AL$24</f>
        <v>0</v>
      </c>
      <c r="U82" s="306">
        <f>DEC!$AL$24</f>
        <v>0</v>
      </c>
      <c r="V82" s="307">
        <f>SUM($J$82:$U$82)</f>
        <v>0</v>
      </c>
      <c r="W82" s="306"/>
      <c r="AA82" t="s">
        <v>513</v>
      </c>
      <c r="AB82" s="493"/>
    </row>
    <row r="83" spans="5:30" x14ac:dyDescent="0.2">
      <c r="E83" s="749" t="s">
        <v>830</v>
      </c>
      <c r="F83" s="755"/>
      <c r="G83" s="755"/>
      <c r="H83" s="756"/>
      <c r="I83" s="306"/>
      <c r="J83" s="306">
        <f>JAN!$AL$26</f>
        <v>0</v>
      </c>
      <c r="K83" s="306">
        <f>FEV!$AL$26</f>
        <v>0</v>
      </c>
      <c r="L83" s="306">
        <f>MAR!$AL$26</f>
        <v>0</v>
      </c>
      <c r="M83" s="306">
        <f>AVR!$AL$26</f>
        <v>0</v>
      </c>
      <c r="N83" s="306">
        <f>MAI!$AL$26</f>
        <v>0</v>
      </c>
      <c r="O83" s="306">
        <f>JUN!$AL$26</f>
        <v>0</v>
      </c>
      <c r="P83" s="306">
        <f>JUL!$AL$26</f>
        <v>0</v>
      </c>
      <c r="Q83" s="306">
        <f>AOÛ!$AL$26</f>
        <v>0</v>
      </c>
      <c r="R83" s="306">
        <f>SEP!$AL$26</f>
        <v>0</v>
      </c>
      <c r="S83" s="306">
        <f>OCT!$AL$26</f>
        <v>0</v>
      </c>
      <c r="T83" s="306">
        <f>NOV!$AL$26</f>
        <v>0</v>
      </c>
      <c r="U83" s="306">
        <f>DEC!$AL$26</f>
        <v>0</v>
      </c>
      <c r="V83" s="307">
        <f>SUM($J$83:$U$83)</f>
        <v>0</v>
      </c>
      <c r="W83" s="306"/>
      <c r="AA83" s="12" t="s">
        <v>841</v>
      </c>
      <c r="AB83" s="493"/>
    </row>
    <row r="84" spans="5:30" x14ac:dyDescent="0.2">
      <c r="E84" s="749" t="s">
        <v>831</v>
      </c>
      <c r="F84" s="755"/>
      <c r="G84" s="755"/>
      <c r="H84" s="756"/>
      <c r="I84" s="306"/>
      <c r="J84" s="306">
        <f>JAN!$AL$27</f>
        <v>0</v>
      </c>
      <c r="K84" s="306">
        <f>FEV!$AL$27</f>
        <v>0</v>
      </c>
      <c r="L84" s="306">
        <f>MAR!$AL$27</f>
        <v>0</v>
      </c>
      <c r="M84" s="306">
        <f>AVR!$AL$27</f>
        <v>0</v>
      </c>
      <c r="N84" s="306">
        <f>MAI!$AL$27</f>
        <v>0</v>
      </c>
      <c r="O84" s="306">
        <f>JUN!$AL$27</f>
        <v>0</v>
      </c>
      <c r="P84" s="306">
        <f>JUL!$AL$27</f>
        <v>0</v>
      </c>
      <c r="Q84" s="306">
        <f>AOÛ!$AL$27</f>
        <v>0</v>
      </c>
      <c r="R84" s="306">
        <f>SEP!$AL$27</f>
        <v>0</v>
      </c>
      <c r="S84" s="306">
        <f>OCT!$AL$27</f>
        <v>0</v>
      </c>
      <c r="T84" s="306">
        <f>NOV!$AL$27</f>
        <v>0</v>
      </c>
      <c r="U84" s="306">
        <f>DEC!$AL$27</f>
        <v>0</v>
      </c>
      <c r="V84" s="307">
        <f>SUM($J$84:$U$84)</f>
        <v>0</v>
      </c>
      <c r="W84" s="306"/>
      <c r="AA84" s="12" t="s">
        <v>842</v>
      </c>
      <c r="AB84" s="493"/>
    </row>
    <row r="85" spans="5:30" x14ac:dyDescent="0.2">
      <c r="E85" s="760" t="s">
        <v>160</v>
      </c>
      <c r="F85" s="761"/>
      <c r="G85" s="761"/>
      <c r="H85" s="762"/>
      <c r="I85" s="306"/>
      <c r="J85" s="306">
        <f>SUM(J$81:J$83)-J84</f>
        <v>0</v>
      </c>
      <c r="K85" s="306">
        <f t="shared" ref="K85:U85" si="5">SUM(K$81:K$83)-K84</f>
        <v>0</v>
      </c>
      <c r="L85" s="306">
        <f t="shared" si="5"/>
        <v>0</v>
      </c>
      <c r="M85" s="306">
        <f t="shared" si="5"/>
        <v>0</v>
      </c>
      <c r="N85" s="306">
        <f t="shared" si="5"/>
        <v>0</v>
      </c>
      <c r="O85" s="306">
        <f t="shared" si="5"/>
        <v>0</v>
      </c>
      <c r="P85" s="306">
        <f t="shared" si="5"/>
        <v>0</v>
      </c>
      <c r="Q85" s="306">
        <f t="shared" si="5"/>
        <v>0</v>
      </c>
      <c r="R85" s="306">
        <f t="shared" si="5"/>
        <v>0</v>
      </c>
      <c r="S85" s="306">
        <f t="shared" si="5"/>
        <v>0</v>
      </c>
      <c r="T85" s="306">
        <f t="shared" si="5"/>
        <v>0</v>
      </c>
      <c r="U85" s="306">
        <f t="shared" si="5"/>
        <v>0</v>
      </c>
      <c r="V85" s="307">
        <f>SUM($J$85:$U$85)</f>
        <v>0</v>
      </c>
      <c r="W85" s="306"/>
    </row>
    <row r="88" spans="5:30" x14ac:dyDescent="0.2">
      <c r="E88" s="743"/>
      <c r="F88" s="744"/>
      <c r="G88" s="744"/>
      <c r="H88" s="745"/>
      <c r="I88" s="274"/>
      <c r="J88" s="274">
        <v>1</v>
      </c>
      <c r="K88" s="274">
        <v>2</v>
      </c>
      <c r="L88" s="274">
        <v>3</v>
      </c>
      <c r="M88" s="274">
        <v>4</v>
      </c>
      <c r="N88" s="274">
        <v>5</v>
      </c>
      <c r="O88" s="274">
        <v>6</v>
      </c>
      <c r="P88" s="274">
        <v>7</v>
      </c>
      <c r="Q88" s="274">
        <v>8</v>
      </c>
      <c r="R88" s="274">
        <v>9</v>
      </c>
      <c r="S88" s="274">
        <v>10</v>
      </c>
      <c r="T88" s="274">
        <v>11</v>
      </c>
      <c r="U88" s="274">
        <v>12</v>
      </c>
      <c r="V88" s="274"/>
      <c r="W88" s="274"/>
      <c r="X88" s="444"/>
      <c r="Y88" s="444"/>
      <c r="Z88" s="445"/>
      <c r="AA88" s="445" t="s">
        <v>504</v>
      </c>
      <c r="AB88" s="486"/>
      <c r="AD88" s="443" t="s">
        <v>113</v>
      </c>
    </row>
    <row r="89" spans="5:30" x14ac:dyDescent="0.2">
      <c r="E89" s="746"/>
      <c r="F89" s="747"/>
      <c r="G89" s="747"/>
      <c r="H89" s="748"/>
      <c r="I89" s="275" t="s">
        <v>151</v>
      </c>
      <c r="J89" s="275" t="s">
        <v>68</v>
      </c>
      <c r="K89" s="275" t="s">
        <v>69</v>
      </c>
      <c r="L89" s="275" t="s">
        <v>70</v>
      </c>
      <c r="M89" s="275" t="s">
        <v>71</v>
      </c>
      <c r="N89" s="275" t="s">
        <v>72</v>
      </c>
      <c r="O89" s="275" t="s">
        <v>73</v>
      </c>
      <c r="P89" s="275" t="s">
        <v>74</v>
      </c>
      <c r="Q89" s="275" t="s">
        <v>75</v>
      </c>
      <c r="R89" s="275" t="s">
        <v>76</v>
      </c>
      <c r="S89" s="275" t="s">
        <v>77</v>
      </c>
      <c r="T89" s="275" t="s">
        <v>78</v>
      </c>
      <c r="U89" s="275" t="s">
        <v>79</v>
      </c>
      <c r="V89" s="275" t="s">
        <v>545</v>
      </c>
      <c r="W89" s="275" t="s">
        <v>153</v>
      </c>
    </row>
    <row r="92" spans="5:30" x14ac:dyDescent="0.2">
      <c r="E92" s="763" t="s">
        <v>161</v>
      </c>
      <c r="F92" s="766"/>
      <c r="G92" s="766"/>
      <c r="H92" s="767"/>
      <c r="I92" s="306"/>
      <c r="J92" s="306">
        <f>$J$85</f>
        <v>0</v>
      </c>
      <c r="K92" s="306">
        <f>$K$85</f>
        <v>0</v>
      </c>
      <c r="L92" s="306">
        <f>$L$85</f>
        <v>0</v>
      </c>
      <c r="M92" s="306">
        <f>$M$85</f>
        <v>0</v>
      </c>
      <c r="N92" s="306">
        <f>$N$85</f>
        <v>0</v>
      </c>
      <c r="O92" s="306">
        <f>$O$85</f>
        <v>0</v>
      </c>
      <c r="P92" s="306">
        <f>$P$85</f>
        <v>0</v>
      </c>
      <c r="Q92" s="306">
        <f>$Q$85</f>
        <v>0</v>
      </c>
      <c r="R92" s="306">
        <f>$R$85</f>
        <v>0</v>
      </c>
      <c r="S92" s="306">
        <f>$S$85</f>
        <v>0</v>
      </c>
      <c r="T92" s="306">
        <f>$T$85</f>
        <v>0</v>
      </c>
      <c r="U92" s="306">
        <f>$U$85</f>
        <v>0</v>
      </c>
      <c r="V92" s="307"/>
      <c r="W92" s="306"/>
    </row>
    <row r="93" spans="5:30" x14ac:dyDescent="0.2">
      <c r="E93" s="763" t="s">
        <v>162</v>
      </c>
      <c r="F93" s="766"/>
      <c r="G93" s="766"/>
      <c r="H93" s="767"/>
      <c r="I93" s="306"/>
      <c r="J93" s="306">
        <f>$J$128</f>
        <v>0</v>
      </c>
      <c r="K93" s="306">
        <f>$K$128</f>
        <v>0</v>
      </c>
      <c r="L93" s="306">
        <f>$L$128</f>
        <v>0</v>
      </c>
      <c r="M93" s="306">
        <f>$M$128</f>
        <v>0</v>
      </c>
      <c r="N93" s="306">
        <f>$N$128</f>
        <v>0</v>
      </c>
      <c r="O93" s="306">
        <f>$O$128</f>
        <v>0</v>
      </c>
      <c r="P93" s="306">
        <f>$P$128</f>
        <v>0</v>
      </c>
      <c r="Q93" s="306">
        <f>$Q$128</f>
        <v>0</v>
      </c>
      <c r="R93" s="306">
        <f>$R$128</f>
        <v>0</v>
      </c>
      <c r="S93" s="306">
        <f>$S$128</f>
        <v>0</v>
      </c>
      <c r="T93" s="306">
        <f>$T$128</f>
        <v>0</v>
      </c>
      <c r="U93" s="306">
        <f>$U$128</f>
        <v>0</v>
      </c>
      <c r="V93" s="307"/>
      <c r="W93" s="306"/>
    </row>
    <row r="94" spans="5:30" x14ac:dyDescent="0.2">
      <c r="E94" s="763" t="s">
        <v>163</v>
      </c>
      <c r="F94" s="764"/>
      <c r="G94" s="764"/>
      <c r="H94" s="765"/>
      <c r="I94" s="306"/>
      <c r="J94" s="306">
        <f>$J$123</f>
        <v>16</v>
      </c>
      <c r="K94" s="306">
        <f>$K$123</f>
        <v>0</v>
      </c>
      <c r="L94" s="306">
        <f>$L$123</f>
        <v>0</v>
      </c>
      <c r="M94" s="306">
        <f>$M$123</f>
        <v>16</v>
      </c>
      <c r="N94" s="306">
        <f>$N$123</f>
        <v>24</v>
      </c>
      <c r="O94" s="306">
        <f>$O$123</f>
        <v>0</v>
      </c>
      <c r="P94" s="306">
        <f>$P$123</f>
        <v>0</v>
      </c>
      <c r="Q94" s="306">
        <f>$Q$123</f>
        <v>0</v>
      </c>
      <c r="R94" s="306">
        <f>$R$123</f>
        <v>0</v>
      </c>
      <c r="S94" s="306">
        <f>$S$123</f>
        <v>0</v>
      </c>
      <c r="T94" s="306">
        <f>$T$123</f>
        <v>0</v>
      </c>
      <c r="U94" s="306">
        <f>$U$123</f>
        <v>16</v>
      </c>
      <c r="V94" s="307"/>
      <c r="W94" s="306"/>
    </row>
    <row r="95" spans="5:30" x14ac:dyDescent="0.2">
      <c r="E95" s="763" t="s">
        <v>164</v>
      </c>
      <c r="F95" s="766"/>
      <c r="G95" s="766"/>
      <c r="H95" s="767"/>
      <c r="I95" s="306"/>
      <c r="J95" s="306">
        <f>$J$183</f>
        <v>0</v>
      </c>
      <c r="K95" s="306">
        <f>$K$183</f>
        <v>0</v>
      </c>
      <c r="L95" s="306">
        <f>$L$183</f>
        <v>0</v>
      </c>
      <c r="M95" s="306">
        <f>$M$183</f>
        <v>0</v>
      </c>
      <c r="N95" s="306">
        <f>$N$183</f>
        <v>0</v>
      </c>
      <c r="O95" s="306">
        <f>$O$183</f>
        <v>0</v>
      </c>
      <c r="P95" s="306">
        <f>$P$183</f>
        <v>0</v>
      </c>
      <c r="Q95" s="306">
        <f>$Q$183</f>
        <v>0</v>
      </c>
      <c r="R95" s="306">
        <f>$R$183</f>
        <v>0</v>
      </c>
      <c r="S95" s="306">
        <f>$S$183</f>
        <v>0</v>
      </c>
      <c r="T95" s="306">
        <f>$T$183</f>
        <v>0</v>
      </c>
      <c r="U95" s="306">
        <f>$U$183</f>
        <v>0</v>
      </c>
      <c r="V95" s="307"/>
      <c r="W95" s="306"/>
    </row>
    <row r="96" spans="5:30" x14ac:dyDescent="0.2">
      <c r="E96" s="763" t="s">
        <v>165</v>
      </c>
      <c r="F96" s="766"/>
      <c r="G96" s="766"/>
      <c r="H96" s="767"/>
      <c r="I96" s="306"/>
      <c r="J96" s="306">
        <f>$J$208</f>
        <v>0</v>
      </c>
      <c r="K96" s="306">
        <f>$K$208</f>
        <v>0</v>
      </c>
      <c r="L96" s="306">
        <f>$L$208</f>
        <v>0</v>
      </c>
      <c r="M96" s="306">
        <f>$M$208</f>
        <v>0</v>
      </c>
      <c r="N96" s="306">
        <f>$N$208</f>
        <v>0</v>
      </c>
      <c r="O96" s="306">
        <f>$O$208</f>
        <v>0</v>
      </c>
      <c r="P96" s="306">
        <f>$P$208</f>
        <v>0</v>
      </c>
      <c r="Q96" s="306">
        <f>$Q$208</f>
        <v>0</v>
      </c>
      <c r="R96" s="306">
        <f>$R$208</f>
        <v>0</v>
      </c>
      <c r="S96" s="306">
        <f>$S$208</f>
        <v>0</v>
      </c>
      <c r="T96" s="306">
        <f>$T$208</f>
        <v>0</v>
      </c>
      <c r="U96" s="306">
        <f>$U$208</f>
        <v>0</v>
      </c>
      <c r="V96" s="307"/>
      <c r="W96" s="306"/>
    </row>
    <row r="97" spans="5:23" x14ac:dyDescent="0.2">
      <c r="E97" s="763" t="s">
        <v>166</v>
      </c>
      <c r="F97" s="766"/>
      <c r="G97" s="766"/>
      <c r="H97" s="767"/>
      <c r="I97" s="306"/>
      <c r="J97" s="306">
        <f>$J$202</f>
        <v>0</v>
      </c>
      <c r="K97" s="306">
        <f>$K$202</f>
        <v>0</v>
      </c>
      <c r="L97" s="306">
        <f>$L$202</f>
        <v>0</v>
      </c>
      <c r="M97" s="306">
        <f>$M$202</f>
        <v>0</v>
      </c>
      <c r="N97" s="306">
        <f>$N$202</f>
        <v>0</v>
      </c>
      <c r="O97" s="306">
        <f>$O$202</f>
        <v>0</v>
      </c>
      <c r="P97" s="306">
        <f>$P$202</f>
        <v>0</v>
      </c>
      <c r="Q97" s="306">
        <f>$Q$202</f>
        <v>0</v>
      </c>
      <c r="R97" s="306">
        <f>$R$202</f>
        <v>0</v>
      </c>
      <c r="S97" s="306">
        <f>$S$202</f>
        <v>0</v>
      </c>
      <c r="T97" s="306">
        <f>$T$202</f>
        <v>0</v>
      </c>
      <c r="U97" s="306">
        <f>$U$202</f>
        <v>0</v>
      </c>
      <c r="V97" s="307"/>
      <c r="W97" s="306"/>
    </row>
    <row r="98" spans="5:23" x14ac:dyDescent="0.2">
      <c r="E98" s="768" t="s">
        <v>588</v>
      </c>
      <c r="F98" s="761"/>
      <c r="G98" s="761"/>
      <c r="H98" s="762"/>
      <c r="I98" s="306"/>
      <c r="J98" s="306">
        <f>J$61+SUM(J$92:J$97)+J163-J$166</f>
        <v>-160</v>
      </c>
      <c r="K98" s="306">
        <f t="shared" ref="K98:U98" si="6">K$61+SUM(K$92:K$97)+K163-K$166</f>
        <v>-160</v>
      </c>
      <c r="L98" s="306">
        <f t="shared" si="6"/>
        <v>-176</v>
      </c>
      <c r="M98" s="306">
        <f t="shared" si="6"/>
        <v>-160</v>
      </c>
      <c r="N98" s="306">
        <f t="shared" si="6"/>
        <v>-144</v>
      </c>
      <c r="O98" s="306">
        <f t="shared" si="6"/>
        <v>-176</v>
      </c>
      <c r="P98" s="306">
        <f t="shared" si="6"/>
        <v>-184</v>
      </c>
      <c r="Q98" s="306">
        <f t="shared" si="6"/>
        <v>-168</v>
      </c>
      <c r="R98" s="306">
        <f t="shared" si="6"/>
        <v>-176</v>
      </c>
      <c r="S98" s="306">
        <f t="shared" si="6"/>
        <v>-176</v>
      </c>
      <c r="T98" s="306">
        <f t="shared" si="6"/>
        <v>-168</v>
      </c>
      <c r="U98" s="306">
        <f t="shared" si="6"/>
        <v>-168</v>
      </c>
      <c r="V98" s="307"/>
      <c r="W98" s="306"/>
    </row>
    <row r="99" spans="5:23" x14ac:dyDescent="0.2">
      <c r="E99" s="768" t="s">
        <v>167</v>
      </c>
      <c r="F99" s="761"/>
      <c r="G99" s="761"/>
      <c r="H99" s="762"/>
      <c r="I99" s="306"/>
      <c r="J99" s="306">
        <f>$I$99+$J$98</f>
        <v>-160</v>
      </c>
      <c r="K99" s="306">
        <f>$J$99+$K$98</f>
        <v>-320</v>
      </c>
      <c r="L99" s="306">
        <f>$K$99+$L$98</f>
        <v>-496</v>
      </c>
      <c r="M99" s="306">
        <f>$L$99+$M$98</f>
        <v>-656</v>
      </c>
      <c r="N99" s="306">
        <f>$M$99+$N$98</f>
        <v>-800</v>
      </c>
      <c r="O99" s="306">
        <f>$N$99+$O$98</f>
        <v>-976</v>
      </c>
      <c r="P99" s="306">
        <f>$O$99+$P$98</f>
        <v>-1160</v>
      </c>
      <c r="Q99" s="306">
        <f>$P$99+$Q$98</f>
        <v>-1328</v>
      </c>
      <c r="R99" s="306">
        <f>$Q$99+$R$98</f>
        <v>-1504</v>
      </c>
      <c r="S99" s="306">
        <f>$R$99+$S$98</f>
        <v>-1680</v>
      </c>
      <c r="T99" s="306">
        <f>$S$99+$T$98</f>
        <v>-1848</v>
      </c>
      <c r="U99" s="306">
        <f>$T$99+$U$98</f>
        <v>-2016</v>
      </c>
      <c r="V99" s="307"/>
      <c r="W99" s="306"/>
    </row>
    <row r="118" spans="2:30" ht="15.75" x14ac:dyDescent="0.2">
      <c r="B118" s="655" t="s">
        <v>563</v>
      </c>
      <c r="C118" s="655"/>
      <c r="D118" s="655"/>
      <c r="E118" s="655"/>
      <c r="F118" s="655"/>
      <c r="G118" s="655"/>
      <c r="H118" s="655"/>
      <c r="I118" s="655"/>
      <c r="J118" s="655"/>
      <c r="K118" s="655"/>
      <c r="L118" s="655"/>
      <c r="M118" s="655"/>
      <c r="N118" s="655"/>
      <c r="O118" s="655"/>
      <c r="P118" s="655"/>
      <c r="Q118" s="655"/>
      <c r="R118" s="655"/>
      <c r="S118" s="655"/>
      <c r="T118" s="655"/>
      <c r="U118" s="655"/>
    </row>
    <row r="121" spans="2:30" x14ac:dyDescent="0.2">
      <c r="E121" s="743"/>
      <c r="F121" s="744"/>
      <c r="G121" s="744"/>
      <c r="H121" s="745"/>
      <c r="I121" s="274"/>
      <c r="J121" s="274">
        <v>1</v>
      </c>
      <c r="K121" s="274">
        <v>2</v>
      </c>
      <c r="L121" s="274">
        <v>3</v>
      </c>
      <c r="M121" s="274">
        <v>4</v>
      </c>
      <c r="N121" s="274">
        <v>5</v>
      </c>
      <c r="O121" s="274">
        <v>6</v>
      </c>
      <c r="P121" s="274">
        <v>7</v>
      </c>
      <c r="Q121" s="274">
        <v>8</v>
      </c>
      <c r="R121" s="274">
        <v>9</v>
      </c>
      <c r="S121" s="274">
        <v>10</v>
      </c>
      <c r="T121" s="274">
        <v>11</v>
      </c>
      <c r="U121" s="274">
        <v>12</v>
      </c>
      <c r="V121" s="274"/>
      <c r="W121" s="274"/>
      <c r="X121" s="444"/>
      <c r="Y121" s="444"/>
      <c r="Z121" s="445"/>
      <c r="AA121" s="445" t="s">
        <v>504</v>
      </c>
      <c r="AB121" s="486"/>
      <c r="AD121" s="443" t="s">
        <v>113</v>
      </c>
    </row>
    <row r="122" spans="2:30" x14ac:dyDescent="0.2">
      <c r="E122" s="746"/>
      <c r="F122" s="747"/>
      <c r="G122" s="747"/>
      <c r="H122" s="748"/>
      <c r="I122" s="275" t="s">
        <v>151</v>
      </c>
      <c r="J122" s="275" t="s">
        <v>68</v>
      </c>
      <c r="K122" s="275" t="s">
        <v>69</v>
      </c>
      <c r="L122" s="275" t="s">
        <v>70</v>
      </c>
      <c r="M122" s="275" t="s">
        <v>71</v>
      </c>
      <c r="N122" s="275" t="s">
        <v>72</v>
      </c>
      <c r="O122" s="275" t="s">
        <v>73</v>
      </c>
      <c r="P122" s="275" t="s">
        <v>74</v>
      </c>
      <c r="Q122" s="275" t="s">
        <v>75</v>
      </c>
      <c r="R122" s="275" t="s">
        <v>76</v>
      </c>
      <c r="S122" s="275" t="s">
        <v>77</v>
      </c>
      <c r="T122" s="275" t="s">
        <v>78</v>
      </c>
      <c r="U122" s="275" t="s">
        <v>79</v>
      </c>
      <c r="V122" s="275" t="s">
        <v>545</v>
      </c>
      <c r="W122" s="275" t="s">
        <v>153</v>
      </c>
    </row>
    <row r="123" spans="2:30" x14ac:dyDescent="0.2">
      <c r="E123" s="749" t="s">
        <v>176</v>
      </c>
      <c r="F123" s="750"/>
      <c r="G123" s="750"/>
      <c r="H123" s="751"/>
      <c r="I123" s="306"/>
      <c r="J123" s="306">
        <f>JAN!$AL$31</f>
        <v>16</v>
      </c>
      <c r="K123" s="306">
        <f>FEV!$AL$31</f>
        <v>0</v>
      </c>
      <c r="L123" s="306">
        <f>MAR!$AL$31</f>
        <v>0</v>
      </c>
      <c r="M123" s="306">
        <f>AVR!$AL$31</f>
        <v>16</v>
      </c>
      <c r="N123" s="306">
        <f>MAI!$AL$31</f>
        <v>24</v>
      </c>
      <c r="O123" s="306">
        <f>JUN!$AL$31</f>
        <v>0</v>
      </c>
      <c r="P123" s="306">
        <f>JUL!$AL$31</f>
        <v>0</v>
      </c>
      <c r="Q123" s="306">
        <f>AOÛ!$AL$31</f>
        <v>0</v>
      </c>
      <c r="R123" s="306">
        <f>SEP!$AL$31</f>
        <v>0</v>
      </c>
      <c r="S123" s="306">
        <f>OCT!$AL$31</f>
        <v>0</v>
      </c>
      <c r="T123" s="306">
        <f>NOV!$AL$31</f>
        <v>0</v>
      </c>
      <c r="U123" s="306">
        <f>DEC!$AL$31</f>
        <v>16</v>
      </c>
      <c r="V123" s="307">
        <f>SUM(J123:U123)</f>
        <v>72</v>
      </c>
      <c r="W123" s="306"/>
    </row>
    <row r="124" spans="2:30" x14ac:dyDescent="0.2">
      <c r="E124" s="749" t="s">
        <v>177</v>
      </c>
      <c r="F124" s="750"/>
      <c r="G124" s="750"/>
      <c r="H124" s="751"/>
      <c r="I124" s="306"/>
      <c r="J124" s="306">
        <f>JAN!$AL$32</f>
        <v>0</v>
      </c>
      <c r="K124" s="306">
        <f>FEV!$AL$32</f>
        <v>0</v>
      </c>
      <c r="L124" s="306">
        <f>MAR!$AL$32</f>
        <v>0</v>
      </c>
      <c r="M124" s="306">
        <f>AVR!$AL$32</f>
        <v>0</v>
      </c>
      <c r="N124" s="306">
        <f>MAI!$AL$32</f>
        <v>0</v>
      </c>
      <c r="O124" s="306">
        <f>JUN!$AL$32</f>
        <v>0</v>
      </c>
      <c r="P124" s="306">
        <f>JUL!$AL$32</f>
        <v>0</v>
      </c>
      <c r="Q124" s="306">
        <f>AOÛ!$AL$32</f>
        <v>0</v>
      </c>
      <c r="R124" s="306">
        <f>SEP!$AL$32</f>
        <v>0</v>
      </c>
      <c r="S124" s="306">
        <f>OCT!$AL$32</f>
        <v>0</v>
      </c>
      <c r="T124" s="306">
        <f>NOV!$AL$32</f>
        <v>0</v>
      </c>
      <c r="U124" s="306">
        <f>DEC!$AL$32</f>
        <v>0</v>
      </c>
      <c r="V124" s="307">
        <f t="shared" ref="V124:V129" si="7">SUM(J124:U124)</f>
        <v>0</v>
      </c>
      <c r="W124" s="306"/>
    </row>
    <row r="125" spans="2:30" x14ac:dyDescent="0.2">
      <c r="E125" s="763" t="s">
        <v>178</v>
      </c>
      <c r="F125" s="766"/>
      <c r="G125" s="766"/>
      <c r="H125" s="767"/>
      <c r="I125" s="306"/>
      <c r="J125" s="306" t="str">
        <f t="shared" ref="J125:U125" si="8">$J$51</f>
        <v>h</v>
      </c>
      <c r="K125" s="306" t="str">
        <f t="shared" si="8"/>
        <v>h</v>
      </c>
      <c r="L125" s="306" t="str">
        <f t="shared" si="8"/>
        <v>h</v>
      </c>
      <c r="M125" s="306" t="str">
        <f t="shared" si="8"/>
        <v>h</v>
      </c>
      <c r="N125" s="306" t="str">
        <f t="shared" si="8"/>
        <v>h</v>
      </c>
      <c r="O125" s="306" t="str">
        <f t="shared" si="8"/>
        <v>h</v>
      </c>
      <c r="P125" s="306" t="str">
        <f t="shared" si="8"/>
        <v>h</v>
      </c>
      <c r="Q125" s="306" t="str">
        <f t="shared" si="8"/>
        <v>h</v>
      </c>
      <c r="R125" s="306" t="str">
        <f t="shared" si="8"/>
        <v>h</v>
      </c>
      <c r="S125" s="306" t="str">
        <f t="shared" si="8"/>
        <v>h</v>
      </c>
      <c r="T125" s="306" t="str">
        <f t="shared" si="8"/>
        <v>h</v>
      </c>
      <c r="U125" s="306" t="str">
        <f t="shared" si="8"/>
        <v>h</v>
      </c>
      <c r="V125" s="307">
        <f t="shared" si="7"/>
        <v>0</v>
      </c>
      <c r="W125" s="306"/>
    </row>
    <row r="126" spans="2:30" x14ac:dyDescent="0.2">
      <c r="E126" s="749" t="s">
        <v>179</v>
      </c>
      <c r="F126" s="750"/>
      <c r="G126" s="750"/>
      <c r="H126" s="751"/>
      <c r="I126" s="306"/>
      <c r="J126" s="306">
        <f>JAN!$AL$33</f>
        <v>0</v>
      </c>
      <c r="K126" s="306">
        <f>FEV!$AL$33</f>
        <v>0</v>
      </c>
      <c r="L126" s="306">
        <f>MAR!$AL$33</f>
        <v>0</v>
      </c>
      <c r="M126" s="306">
        <f>AVR!$AL$33</f>
        <v>0</v>
      </c>
      <c r="N126" s="306">
        <f>MAI!$AL$33</f>
        <v>0</v>
      </c>
      <c r="O126" s="306">
        <f>JUN!$AL$33</f>
        <v>0</v>
      </c>
      <c r="P126" s="306">
        <f>JUL!$AL$33</f>
        <v>0</v>
      </c>
      <c r="Q126" s="306">
        <f>AOÛ!$AL$33</f>
        <v>0</v>
      </c>
      <c r="R126" s="306">
        <f>SEP!$AL$33</f>
        <v>0</v>
      </c>
      <c r="S126" s="306">
        <f>OCT!$AL$33</f>
        <v>0</v>
      </c>
      <c r="T126" s="306">
        <f>NOV!$AL$33</f>
        <v>0</v>
      </c>
      <c r="U126" s="306">
        <f>DEC!$AL$33</f>
        <v>0</v>
      </c>
      <c r="V126" s="307">
        <f t="shared" si="7"/>
        <v>0</v>
      </c>
      <c r="W126" s="306"/>
    </row>
    <row r="127" spans="2:30" x14ac:dyDescent="0.2">
      <c r="E127" s="749" t="s">
        <v>180</v>
      </c>
      <c r="F127" s="750"/>
      <c r="G127" s="750"/>
      <c r="H127" s="751"/>
      <c r="I127" s="306"/>
      <c r="J127" s="306">
        <f>JAN!$AL$34</f>
        <v>0</v>
      </c>
      <c r="K127" s="306">
        <f>FEV!$AL$34</f>
        <v>0</v>
      </c>
      <c r="L127" s="306">
        <f>MAR!$AL$34</f>
        <v>0</v>
      </c>
      <c r="M127" s="306">
        <f>AVR!$AL$34</f>
        <v>0</v>
      </c>
      <c r="N127" s="306">
        <f>MAI!$AL$34</f>
        <v>0</v>
      </c>
      <c r="O127" s="306">
        <f>JUN!$AL$34</f>
        <v>0</v>
      </c>
      <c r="P127" s="306">
        <f>JUL!$AL$34</f>
        <v>0</v>
      </c>
      <c r="Q127" s="306">
        <f>AOÛ!$AL$34</f>
        <v>0</v>
      </c>
      <c r="R127" s="306">
        <f>SEP!$AL$34</f>
        <v>0</v>
      </c>
      <c r="S127" s="306">
        <f>OCT!$AL$34</f>
        <v>0</v>
      </c>
      <c r="T127" s="306">
        <f>NOV!$AL$34</f>
        <v>0</v>
      </c>
      <c r="U127" s="306">
        <f>DEC!$AL$34</f>
        <v>0</v>
      </c>
      <c r="V127" s="307">
        <f t="shared" si="7"/>
        <v>0</v>
      </c>
      <c r="W127" s="306"/>
    </row>
    <row r="128" spans="2:30" x14ac:dyDescent="0.2">
      <c r="E128" s="757" t="s">
        <v>181</v>
      </c>
      <c r="F128" s="761"/>
      <c r="G128" s="761"/>
      <c r="H128" s="762"/>
      <c r="I128" s="306">
        <f>SUM(I124,I126,I127)</f>
        <v>0</v>
      </c>
      <c r="J128" s="306">
        <f t="shared" ref="J128" si="9">SUM(J124,J126,J127)</f>
        <v>0</v>
      </c>
      <c r="K128" s="306">
        <f t="shared" ref="K128" si="10">SUM(K124,K126,K127)</f>
        <v>0</v>
      </c>
      <c r="L128" s="306">
        <f t="shared" ref="L128" si="11">SUM(L124,L126,L127)</f>
        <v>0</v>
      </c>
      <c r="M128" s="306">
        <f t="shared" ref="M128" si="12">SUM(M124,M126,M127)</f>
        <v>0</v>
      </c>
      <c r="N128" s="306">
        <f t="shared" ref="N128" si="13">SUM(N124,N126,N127)</f>
        <v>0</v>
      </c>
      <c r="O128" s="306">
        <f t="shared" ref="O128" si="14">SUM(O124,O126,O127)</f>
        <v>0</v>
      </c>
      <c r="P128" s="306">
        <f t="shared" ref="P128" si="15">SUM(P124,P126,P127)</f>
        <v>0</v>
      </c>
      <c r="Q128" s="306">
        <f t="shared" ref="Q128" si="16">SUM(Q124,Q126,Q127)</f>
        <v>0</v>
      </c>
      <c r="R128" s="306">
        <f t="shared" ref="R128" si="17">SUM(R124,R126,R127)</f>
        <v>0</v>
      </c>
      <c r="S128" s="306">
        <f t="shared" ref="S128" si="18">SUM(S124,S126,S127)</f>
        <v>0</v>
      </c>
      <c r="T128" s="306">
        <f t="shared" ref="T128" si="19">SUM(T124,T126,T127)</f>
        <v>0</v>
      </c>
      <c r="U128" s="306">
        <f t="shared" ref="U128" si="20">SUM(U124,U126,U127)</f>
        <v>0</v>
      </c>
      <c r="V128" s="307">
        <f t="shared" si="7"/>
        <v>0</v>
      </c>
      <c r="W128" s="306"/>
    </row>
    <row r="129" spans="2:30" x14ac:dyDescent="0.2">
      <c r="E129" s="769"/>
      <c r="F129" s="770"/>
      <c r="G129" s="770"/>
      <c r="H129" s="771"/>
      <c r="I129" s="306"/>
      <c r="J129" s="306"/>
      <c r="K129" s="306"/>
      <c r="L129" s="306"/>
      <c r="M129" s="306"/>
      <c r="N129" s="306"/>
      <c r="O129" s="306"/>
      <c r="P129" s="306"/>
      <c r="Q129" s="306"/>
      <c r="R129" s="306"/>
      <c r="S129" s="306"/>
      <c r="T129" s="306"/>
      <c r="U129" s="306"/>
      <c r="V129" s="307">
        <f t="shared" si="7"/>
        <v>0</v>
      </c>
      <c r="W129" s="306"/>
    </row>
    <row r="134" spans="2:30" ht="15.6" customHeight="1" x14ac:dyDescent="0.2">
      <c r="B134" s="655" t="s">
        <v>360</v>
      </c>
      <c r="C134" s="655"/>
      <c r="D134" s="655"/>
      <c r="E134" s="655"/>
      <c r="F134" s="655"/>
      <c r="G134" s="655"/>
      <c r="H134" s="655"/>
      <c r="I134" s="655"/>
      <c r="J134" s="655"/>
      <c r="K134" s="655"/>
      <c r="L134" s="655"/>
      <c r="M134" s="655"/>
      <c r="N134" s="655"/>
      <c r="O134" s="655"/>
      <c r="P134" s="655"/>
      <c r="Q134" s="655"/>
      <c r="R134" s="655"/>
      <c r="S134" s="655"/>
      <c r="T134" s="655"/>
      <c r="U134" s="655"/>
    </row>
    <row r="135" spans="2:30" x14ac:dyDescent="0.2">
      <c r="B135" s="556"/>
    </row>
    <row r="136" spans="2:30" s="185" customFormat="1" ht="18.95" customHeight="1" x14ac:dyDescent="0.2">
      <c r="B136" s="557"/>
      <c r="E136" s="313" t="s">
        <v>182</v>
      </c>
      <c r="X136" s="128"/>
      <c r="Y136" s="128"/>
    </row>
    <row r="137" spans="2:30" x14ac:dyDescent="0.2">
      <c r="B137" s="556"/>
      <c r="E137" s="743"/>
      <c r="F137" s="744"/>
      <c r="G137" s="744"/>
      <c r="H137" s="745"/>
      <c r="I137" s="274"/>
      <c r="J137" s="274">
        <v>1</v>
      </c>
      <c r="K137" s="274">
        <v>2</v>
      </c>
      <c r="L137" s="274">
        <v>3</v>
      </c>
      <c r="M137" s="274">
        <v>4</v>
      </c>
      <c r="N137" s="274">
        <v>5</v>
      </c>
      <c r="O137" s="274">
        <v>6</v>
      </c>
      <c r="P137" s="274">
        <v>7</v>
      </c>
      <c r="Q137" s="274">
        <v>8</v>
      </c>
      <c r="R137" s="274">
        <v>9</v>
      </c>
      <c r="S137" s="274">
        <v>10</v>
      </c>
      <c r="T137" s="274">
        <v>11</v>
      </c>
      <c r="U137" s="274">
        <v>12</v>
      </c>
      <c r="V137" s="274"/>
      <c r="W137" s="274"/>
      <c r="X137" s="444"/>
      <c r="Y137" s="444"/>
      <c r="Z137" s="445"/>
      <c r="AA137" s="445" t="s">
        <v>504</v>
      </c>
      <c r="AB137" s="486"/>
      <c r="AD137" s="443" t="s">
        <v>113</v>
      </c>
    </row>
    <row r="138" spans="2:30" x14ac:dyDescent="0.2">
      <c r="B138" s="556"/>
      <c r="E138" s="746"/>
      <c r="F138" s="747"/>
      <c r="G138" s="747"/>
      <c r="H138" s="748"/>
      <c r="I138" s="275" t="s">
        <v>151</v>
      </c>
      <c r="J138" s="275" t="s">
        <v>68</v>
      </c>
      <c r="K138" s="275" t="s">
        <v>69</v>
      </c>
      <c r="L138" s="275" t="s">
        <v>70</v>
      </c>
      <c r="M138" s="275" t="s">
        <v>71</v>
      </c>
      <c r="N138" s="275" t="s">
        <v>72</v>
      </c>
      <c r="O138" s="275" t="s">
        <v>73</v>
      </c>
      <c r="P138" s="275" t="s">
        <v>74</v>
      </c>
      <c r="Q138" s="275" t="s">
        <v>75</v>
      </c>
      <c r="R138" s="275" t="s">
        <v>76</v>
      </c>
      <c r="S138" s="275" t="s">
        <v>77</v>
      </c>
      <c r="T138" s="275" t="s">
        <v>78</v>
      </c>
      <c r="U138" s="275" t="s">
        <v>79</v>
      </c>
      <c r="V138" s="275" t="s">
        <v>545</v>
      </c>
      <c r="W138" s="275" t="s">
        <v>153</v>
      </c>
    </row>
    <row r="139" spans="2:30" x14ac:dyDescent="0.2">
      <c r="B139" s="556"/>
      <c r="E139" s="752" t="s">
        <v>163</v>
      </c>
      <c r="F139" s="772"/>
      <c r="G139" s="772"/>
      <c r="H139" s="773"/>
      <c r="I139" s="306"/>
      <c r="J139" s="306"/>
      <c r="K139" s="306"/>
      <c r="L139" s="306"/>
      <c r="M139" s="306"/>
      <c r="N139" s="306"/>
      <c r="O139" s="306"/>
      <c r="P139" s="306"/>
      <c r="Q139" s="306"/>
      <c r="R139" s="306"/>
      <c r="S139" s="306"/>
      <c r="T139" s="306"/>
      <c r="U139" s="306"/>
      <c r="V139" s="307">
        <f>SUM(J139:U139)</f>
        <v>0</v>
      </c>
      <c r="W139" s="306"/>
      <c r="X139" s="315" t="s">
        <v>183</v>
      </c>
      <c r="Y139" s="315"/>
      <c r="Z139" s="12"/>
    </row>
    <row r="140" spans="2:30" x14ac:dyDescent="0.2">
      <c r="B140" s="556"/>
      <c r="E140" s="752" t="s">
        <v>164</v>
      </c>
      <c r="F140" s="772"/>
      <c r="G140" s="772"/>
      <c r="H140" s="773"/>
      <c r="I140" s="306"/>
      <c r="J140" s="306"/>
      <c r="K140" s="306"/>
      <c r="L140" s="306"/>
      <c r="M140" s="306"/>
      <c r="N140" s="306"/>
      <c r="O140" s="306"/>
      <c r="P140" s="306"/>
      <c r="Q140" s="306"/>
      <c r="R140" s="306"/>
      <c r="S140" s="306"/>
      <c r="T140" s="306"/>
      <c r="U140" s="306"/>
      <c r="V140" s="307">
        <f>SUM(J140:U140)</f>
        <v>0</v>
      </c>
      <c r="W140" s="306"/>
      <c r="X140" s="315" t="s">
        <v>184</v>
      </c>
      <c r="Y140" s="315"/>
      <c r="Z140" s="12" t="s">
        <v>185</v>
      </c>
    </row>
    <row r="141" spans="2:30" x14ac:dyDescent="0.2">
      <c r="B141" s="556"/>
      <c r="E141" s="752" t="s">
        <v>186</v>
      </c>
      <c r="F141" s="772"/>
      <c r="G141" s="772"/>
      <c r="H141" s="773"/>
      <c r="I141" s="306"/>
      <c r="J141" s="306"/>
      <c r="K141" s="306"/>
      <c r="L141" s="306"/>
      <c r="M141" s="306"/>
      <c r="N141" s="306"/>
      <c r="O141" s="306"/>
      <c r="P141" s="306"/>
      <c r="Q141" s="306"/>
      <c r="R141" s="306"/>
      <c r="S141" s="306"/>
      <c r="T141" s="306"/>
      <c r="U141" s="306"/>
      <c r="V141" s="307"/>
      <c r="W141" s="306"/>
      <c r="X141" s="315" t="s">
        <v>187</v>
      </c>
      <c r="Y141" s="315"/>
      <c r="Z141" s="12" t="s">
        <v>188</v>
      </c>
    </row>
    <row r="142" spans="2:30" x14ac:dyDescent="0.2">
      <c r="B142" s="556"/>
      <c r="E142" s="752" t="s">
        <v>189</v>
      </c>
      <c r="F142" s="772"/>
      <c r="G142" s="772"/>
      <c r="H142" s="773"/>
      <c r="I142" s="306"/>
      <c r="J142" s="306"/>
      <c r="K142" s="306"/>
      <c r="L142" s="306"/>
      <c r="M142" s="306"/>
      <c r="N142" s="306"/>
      <c r="O142" s="306"/>
      <c r="P142" s="306"/>
      <c r="Q142" s="306"/>
      <c r="R142" s="306"/>
      <c r="S142" s="306"/>
      <c r="T142" s="306"/>
      <c r="U142" s="306"/>
      <c r="V142" s="307"/>
      <c r="W142" s="306"/>
      <c r="X142" s="315" t="s">
        <v>190</v>
      </c>
      <c r="Y142" s="315"/>
      <c r="Z142" s="12" t="s">
        <v>191</v>
      </c>
    </row>
    <row r="143" spans="2:30" x14ac:dyDescent="0.2">
      <c r="B143" s="556"/>
      <c r="E143" s="752" t="s">
        <v>192</v>
      </c>
      <c r="F143" s="772"/>
      <c r="G143" s="772"/>
      <c r="H143" s="773"/>
      <c r="I143" s="306"/>
      <c r="J143" s="306"/>
      <c r="K143" s="306"/>
      <c r="L143" s="306"/>
      <c r="M143" s="306"/>
      <c r="N143" s="306"/>
      <c r="O143" s="306"/>
      <c r="P143" s="306"/>
      <c r="Q143" s="306"/>
      <c r="R143" s="306"/>
      <c r="S143" s="306"/>
      <c r="T143" s="306"/>
      <c r="U143" s="306"/>
      <c r="V143" s="307"/>
      <c r="W143" s="306"/>
      <c r="X143" s="315" t="s">
        <v>193</v>
      </c>
      <c r="Y143" s="315"/>
      <c r="Z143" s="12" t="s">
        <v>194</v>
      </c>
    </row>
    <row r="144" spans="2:30" x14ac:dyDescent="0.2">
      <c r="B144" s="556"/>
      <c r="E144" s="752" t="s">
        <v>195</v>
      </c>
      <c r="F144" s="770"/>
      <c r="G144" s="770"/>
      <c r="H144" s="771"/>
      <c r="I144" s="306"/>
      <c r="J144" s="306"/>
      <c r="K144" s="306"/>
      <c r="L144" s="306"/>
      <c r="M144" s="306"/>
      <c r="N144" s="306"/>
      <c r="O144" s="306"/>
      <c r="P144" s="306"/>
      <c r="Q144" s="306"/>
      <c r="R144" s="306"/>
      <c r="S144" s="306"/>
      <c r="T144" s="306"/>
      <c r="U144" s="306"/>
      <c r="V144" s="307"/>
      <c r="W144" s="306"/>
      <c r="X144" s="315" t="s">
        <v>196</v>
      </c>
      <c r="Y144" s="315"/>
      <c r="Z144" s="12" t="s">
        <v>197</v>
      </c>
    </row>
    <row r="145" spans="2:30" x14ac:dyDescent="0.2">
      <c r="B145" s="556"/>
      <c r="E145" s="752" t="s">
        <v>198</v>
      </c>
      <c r="F145" s="770"/>
      <c r="G145" s="770"/>
      <c r="H145" s="771"/>
      <c r="I145" s="306"/>
      <c r="J145" s="306"/>
      <c r="K145" s="306"/>
      <c r="L145" s="306"/>
      <c r="M145" s="306"/>
      <c r="N145" s="306"/>
      <c r="O145" s="306"/>
      <c r="P145" s="306"/>
      <c r="Q145" s="306"/>
      <c r="R145" s="306"/>
      <c r="S145" s="306"/>
      <c r="T145" s="306"/>
      <c r="U145" s="306"/>
      <c r="V145" s="307"/>
      <c r="W145" s="306"/>
      <c r="X145" s="315" t="s">
        <v>199</v>
      </c>
      <c r="Y145" s="315"/>
      <c r="Z145" s="12" t="s">
        <v>200</v>
      </c>
    </row>
    <row r="146" spans="2:30" x14ac:dyDescent="0.2">
      <c r="B146" s="556"/>
      <c r="E146" s="752" t="s">
        <v>201</v>
      </c>
      <c r="F146" s="770"/>
      <c r="G146" s="770"/>
      <c r="H146" s="771"/>
      <c r="I146" s="306"/>
      <c r="J146" s="306"/>
      <c r="K146" s="306"/>
      <c r="L146" s="306"/>
      <c r="M146" s="306"/>
      <c r="N146" s="306"/>
      <c r="O146" s="306"/>
      <c r="P146" s="306"/>
      <c r="Q146" s="306"/>
      <c r="R146" s="306"/>
      <c r="S146" s="306"/>
      <c r="T146" s="306"/>
      <c r="U146" s="306"/>
      <c r="V146" s="307"/>
      <c r="W146" s="306"/>
      <c r="X146" s="315" t="s">
        <v>202</v>
      </c>
      <c r="Y146" s="315"/>
    </row>
    <row r="147" spans="2:30" x14ac:dyDescent="0.2">
      <c r="B147" s="556"/>
      <c r="E147" s="752" t="s">
        <v>203</v>
      </c>
      <c r="F147" s="770"/>
      <c r="G147" s="770"/>
      <c r="H147" s="771"/>
      <c r="I147" s="306"/>
      <c r="J147" s="306"/>
      <c r="K147" s="306"/>
      <c r="L147" s="306"/>
      <c r="M147" s="306"/>
      <c r="N147" s="306"/>
      <c r="O147" s="306"/>
      <c r="P147" s="306"/>
      <c r="Q147" s="306"/>
      <c r="R147" s="306"/>
      <c r="S147" s="306"/>
      <c r="T147" s="306"/>
      <c r="U147" s="306"/>
      <c r="V147" s="307"/>
      <c r="W147" s="306"/>
      <c r="X147" s="315" t="s">
        <v>204</v>
      </c>
      <c r="Y147" s="315"/>
    </row>
    <row r="148" spans="2:30" x14ac:dyDescent="0.2">
      <c r="B148" s="556"/>
      <c r="E148" s="752" t="s">
        <v>205</v>
      </c>
      <c r="F148" s="770"/>
      <c r="G148" s="770"/>
      <c r="H148" s="771"/>
      <c r="I148" s="306"/>
      <c r="J148" s="306"/>
      <c r="K148" s="306"/>
      <c r="L148" s="306"/>
      <c r="M148" s="306"/>
      <c r="N148" s="306"/>
      <c r="O148" s="306"/>
      <c r="P148" s="306"/>
      <c r="Q148" s="306"/>
      <c r="R148" s="306"/>
      <c r="S148" s="306"/>
      <c r="T148" s="306"/>
      <c r="U148" s="306"/>
      <c r="V148" s="307"/>
      <c r="W148" s="306"/>
      <c r="X148" s="315" t="s">
        <v>206</v>
      </c>
      <c r="Y148" s="315"/>
    </row>
    <row r="149" spans="2:30" x14ac:dyDescent="0.2">
      <c r="B149" s="556"/>
      <c r="E149" s="752"/>
      <c r="F149" s="753"/>
      <c r="G149" s="753"/>
      <c r="H149" s="754"/>
      <c r="I149" s="306"/>
      <c r="J149" s="306"/>
      <c r="K149" s="306"/>
      <c r="L149" s="306"/>
      <c r="M149" s="306"/>
      <c r="N149" s="306"/>
      <c r="O149" s="306"/>
      <c r="P149" s="306"/>
      <c r="Q149" s="306"/>
      <c r="R149" s="306"/>
      <c r="S149" s="306"/>
      <c r="T149" s="306"/>
      <c r="U149" s="306"/>
      <c r="V149" s="307"/>
      <c r="W149" s="306"/>
    </row>
    <row r="150" spans="2:30" x14ac:dyDescent="0.2">
      <c r="B150" s="556"/>
      <c r="E150" s="752"/>
      <c r="F150" s="753"/>
      <c r="G150" s="753"/>
      <c r="H150" s="754"/>
      <c r="I150" s="306"/>
      <c r="J150" s="306"/>
      <c r="K150" s="306"/>
      <c r="L150" s="306"/>
      <c r="M150" s="306"/>
      <c r="N150" s="306"/>
      <c r="O150" s="306"/>
      <c r="P150" s="306"/>
      <c r="Q150" s="306"/>
      <c r="R150" s="306"/>
      <c r="S150" s="306"/>
      <c r="T150" s="306"/>
      <c r="U150" s="306"/>
      <c r="V150" s="307"/>
      <c r="W150" s="306"/>
    </row>
    <row r="151" spans="2:30" x14ac:dyDescent="0.2">
      <c r="B151" s="556"/>
      <c r="E151" s="752"/>
      <c r="F151" s="753"/>
      <c r="G151" s="753"/>
      <c r="H151" s="754"/>
      <c r="I151" s="306"/>
      <c r="J151" s="306"/>
      <c r="K151" s="306"/>
      <c r="L151" s="306"/>
      <c r="M151" s="306"/>
      <c r="N151" s="306"/>
      <c r="O151" s="306"/>
      <c r="P151" s="306"/>
      <c r="Q151" s="306"/>
      <c r="R151" s="306"/>
      <c r="S151" s="306"/>
      <c r="T151" s="306"/>
      <c r="U151" s="306"/>
      <c r="V151" s="307"/>
      <c r="W151" s="306"/>
    </row>
    <row r="152" spans="2:30" x14ac:dyDescent="0.2">
      <c r="B152" s="556"/>
      <c r="E152" s="752"/>
      <c r="F152" s="753"/>
      <c r="G152" s="753"/>
      <c r="H152" s="754"/>
      <c r="I152" s="306"/>
      <c r="J152" s="306"/>
      <c r="K152" s="306"/>
      <c r="L152" s="306"/>
      <c r="M152" s="306"/>
      <c r="N152" s="306"/>
      <c r="O152" s="306"/>
      <c r="P152" s="306"/>
      <c r="Q152" s="306"/>
      <c r="R152" s="306"/>
      <c r="S152" s="306"/>
      <c r="T152" s="306"/>
      <c r="U152" s="306"/>
      <c r="V152" s="307"/>
      <c r="W152" s="306"/>
    </row>
    <row r="153" spans="2:30" x14ac:dyDescent="0.2">
      <c r="B153" s="556"/>
      <c r="E153" s="752"/>
      <c r="F153" s="753"/>
      <c r="G153" s="753"/>
      <c r="H153" s="754"/>
      <c r="I153" s="306"/>
      <c r="J153" s="306"/>
      <c r="K153" s="306"/>
      <c r="L153" s="306"/>
      <c r="M153" s="306"/>
      <c r="N153" s="306"/>
      <c r="O153" s="306"/>
      <c r="P153" s="306"/>
      <c r="Q153" s="306"/>
      <c r="R153" s="306"/>
      <c r="S153" s="306"/>
      <c r="T153" s="306"/>
      <c r="U153" s="306"/>
      <c r="V153" s="307"/>
      <c r="W153" s="306"/>
    </row>
    <row r="154" spans="2:30" x14ac:dyDescent="0.2">
      <c r="E154" s="304"/>
    </row>
    <row r="156" spans="2:30" x14ac:dyDescent="0.2">
      <c r="E156" s="304"/>
    </row>
    <row r="157" spans="2:30" x14ac:dyDescent="0.2">
      <c r="E157" s="304"/>
    </row>
    <row r="159" spans="2:30" s="185" customFormat="1" ht="18.95" customHeight="1" x14ac:dyDescent="0.2">
      <c r="E159" s="313" t="s">
        <v>207</v>
      </c>
    </row>
    <row r="160" spans="2:30" x14ac:dyDescent="0.2">
      <c r="E160" s="743"/>
      <c r="F160" s="744"/>
      <c r="G160" s="744"/>
      <c r="H160" s="745"/>
      <c r="I160" s="274"/>
      <c r="J160" s="274">
        <v>1</v>
      </c>
      <c r="K160" s="274">
        <v>2</v>
      </c>
      <c r="L160" s="274">
        <v>3</v>
      </c>
      <c r="M160" s="274">
        <v>4</v>
      </c>
      <c r="N160" s="274">
        <v>5</v>
      </c>
      <c r="O160" s="274">
        <v>6</v>
      </c>
      <c r="P160" s="274">
        <v>7</v>
      </c>
      <c r="Q160" s="274">
        <v>8</v>
      </c>
      <c r="R160" s="274">
        <v>9</v>
      </c>
      <c r="S160" s="274">
        <v>10</v>
      </c>
      <c r="T160" s="274">
        <v>11</v>
      </c>
      <c r="U160" s="274">
        <v>12</v>
      </c>
      <c r="V160" s="274"/>
      <c r="W160" s="274"/>
      <c r="X160" s="444"/>
      <c r="Y160" s="444"/>
      <c r="Z160" s="445"/>
      <c r="AA160" s="445" t="s">
        <v>504</v>
      </c>
      <c r="AB160" s="486"/>
      <c r="AD160" s="443" t="s">
        <v>113</v>
      </c>
    </row>
    <row r="161" spans="5:30" x14ac:dyDescent="0.2">
      <c r="E161" s="746"/>
      <c r="F161" s="747"/>
      <c r="G161" s="747"/>
      <c r="H161" s="748"/>
      <c r="I161" s="275" t="s">
        <v>151</v>
      </c>
      <c r="J161" s="275" t="s">
        <v>68</v>
      </c>
      <c r="K161" s="275" t="s">
        <v>69</v>
      </c>
      <c r="L161" s="275" t="s">
        <v>70</v>
      </c>
      <c r="M161" s="275" t="s">
        <v>71</v>
      </c>
      <c r="N161" s="275" t="s">
        <v>72</v>
      </c>
      <c r="O161" s="275" t="s">
        <v>73</v>
      </c>
      <c r="P161" s="275" t="s">
        <v>74</v>
      </c>
      <c r="Q161" s="275" t="s">
        <v>75</v>
      </c>
      <c r="R161" s="275" t="s">
        <v>76</v>
      </c>
      <c r="S161" s="275" t="s">
        <v>77</v>
      </c>
      <c r="T161" s="275" t="s">
        <v>78</v>
      </c>
      <c r="U161" s="275" t="s">
        <v>79</v>
      </c>
      <c r="V161" s="275" t="s">
        <v>545</v>
      </c>
      <c r="W161" s="275" t="s">
        <v>153</v>
      </c>
    </row>
    <row r="162" spans="5:30" x14ac:dyDescent="0.2">
      <c r="E162" s="757" t="s">
        <v>208</v>
      </c>
      <c r="F162" s="761"/>
      <c r="G162" s="761"/>
      <c r="H162" s="762"/>
      <c r="I162" s="306">
        <f>IF(B_fldSaldoVJ&gt;0,B_fldSaldoVJ,0)</f>
        <v>0</v>
      </c>
      <c r="J162" s="306"/>
      <c r="K162" s="306"/>
      <c r="L162" s="306"/>
      <c r="M162" s="306"/>
      <c r="N162" s="306"/>
      <c r="O162" s="306"/>
      <c r="P162" s="306"/>
      <c r="Q162" s="306"/>
      <c r="R162" s="306"/>
      <c r="S162" s="306"/>
      <c r="T162" s="306"/>
      <c r="U162" s="306"/>
      <c r="V162" s="307">
        <f>SUM(J162:U162)</f>
        <v>0</v>
      </c>
      <c r="W162" s="306"/>
    </row>
    <row r="163" spans="5:30" x14ac:dyDescent="0.2">
      <c r="E163" s="749" t="s">
        <v>209</v>
      </c>
      <c r="F163" s="750"/>
      <c r="G163" s="750"/>
      <c r="H163" s="751"/>
      <c r="I163" s="306"/>
      <c r="J163" s="306">
        <f>JAN!$AL$37</f>
        <v>0</v>
      </c>
      <c r="K163" s="306">
        <f>FEV!$AL$37</f>
        <v>0</v>
      </c>
      <c r="L163" s="306">
        <f>MAR!$AL$37</f>
        <v>0</v>
      </c>
      <c r="M163" s="306">
        <f>AVR!$AL$37</f>
        <v>0</v>
      </c>
      <c r="N163" s="306">
        <f>MAI!$AL$37</f>
        <v>0</v>
      </c>
      <c r="O163" s="306">
        <f>JUN!$AL$37</f>
        <v>0</v>
      </c>
      <c r="P163" s="306">
        <f>JUL!$AL$37</f>
        <v>0</v>
      </c>
      <c r="Q163" s="306">
        <f>AOÛ!$AL$37</f>
        <v>0</v>
      </c>
      <c r="R163" s="306">
        <f>SEP!$AL$37</f>
        <v>0</v>
      </c>
      <c r="S163" s="306">
        <f>OCT!$AL$37</f>
        <v>0</v>
      </c>
      <c r="T163" s="306">
        <f>NOV!$AL$37</f>
        <v>0</v>
      </c>
      <c r="U163" s="306">
        <f>DEC!$AL$37</f>
        <v>0</v>
      </c>
      <c r="V163" s="307">
        <f t="shared" ref="V163" si="21">SUM(J163:U163)</f>
        <v>0</v>
      </c>
      <c r="W163" s="306"/>
    </row>
    <row r="164" spans="5:30" x14ac:dyDescent="0.2">
      <c r="E164" s="749" t="s">
        <v>210</v>
      </c>
      <c r="F164" s="750"/>
      <c r="G164" s="750"/>
      <c r="H164" s="751"/>
      <c r="I164" s="306"/>
      <c r="J164" s="306">
        <f>JAN!$K$56</f>
        <v>0</v>
      </c>
      <c r="K164" s="306">
        <f>FEV!$K$56</f>
        <v>0</v>
      </c>
      <c r="L164" s="306">
        <f>MAR!$K$56</f>
        <v>0</v>
      </c>
      <c r="M164" s="306">
        <f>AVR!$K$56</f>
        <v>0</v>
      </c>
      <c r="N164" s="306">
        <f>MAI!$K$56</f>
        <v>0</v>
      </c>
      <c r="O164" s="306">
        <f>JUN!$K$56</f>
        <v>0</v>
      </c>
      <c r="P164" s="306">
        <f>JUL!$K$56</f>
        <v>0</v>
      </c>
      <c r="Q164" s="306">
        <f>AOÛ!$K$56</f>
        <v>0</v>
      </c>
      <c r="R164" s="306">
        <f>SEP!$K$56</f>
        <v>0</v>
      </c>
      <c r="S164" s="306">
        <f>OCT!$K$56</f>
        <v>0</v>
      </c>
      <c r="T164" s="306">
        <f>NOV!$K$56</f>
        <v>0</v>
      </c>
      <c r="U164" s="306">
        <f>DEC!$K$56</f>
        <v>0</v>
      </c>
      <c r="V164" s="307">
        <f>SUM(J164:U164)</f>
        <v>0</v>
      </c>
      <c r="W164" s="306"/>
    </row>
    <row r="165" spans="5:30" x14ac:dyDescent="0.2">
      <c r="E165" s="749" t="s">
        <v>211</v>
      </c>
      <c r="F165" s="750"/>
      <c r="G165" s="750"/>
      <c r="H165" s="751"/>
      <c r="I165" s="306"/>
      <c r="J165" s="306">
        <f>JAN!$AL$38</f>
        <v>0</v>
      </c>
      <c r="K165" s="306">
        <f>FEV!$AL$38</f>
        <v>0</v>
      </c>
      <c r="L165" s="306">
        <f>MAR!$AL$38</f>
        <v>0</v>
      </c>
      <c r="M165" s="306">
        <f>AVR!$AL$38</f>
        <v>0</v>
      </c>
      <c r="N165" s="306">
        <f>MAI!$AL$38</f>
        <v>0</v>
      </c>
      <c r="O165" s="306">
        <f>JUN!$AL$38</f>
        <v>0</v>
      </c>
      <c r="P165" s="306">
        <f>JUL!$AL$38</f>
        <v>0</v>
      </c>
      <c r="Q165" s="306">
        <f>AOÛ!$AL$38</f>
        <v>0</v>
      </c>
      <c r="R165" s="306">
        <f>SEP!$AL$38</f>
        <v>0</v>
      </c>
      <c r="S165" s="306">
        <f>OCT!$AL$38</f>
        <v>0</v>
      </c>
      <c r="T165" s="306">
        <f>NOV!$AL$38</f>
        <v>0</v>
      </c>
      <c r="U165" s="306">
        <f>DEC!$AL$38</f>
        <v>0</v>
      </c>
      <c r="V165" s="307">
        <f t="shared" ref="V165:V174" si="22">SUM(J165:U165)</f>
        <v>0</v>
      </c>
      <c r="W165" s="306"/>
    </row>
    <row r="166" spans="5:30" x14ac:dyDescent="0.2">
      <c r="E166" s="749" t="s">
        <v>212</v>
      </c>
      <c r="F166" s="750"/>
      <c r="G166" s="750"/>
      <c r="H166" s="751"/>
      <c r="I166" s="306"/>
      <c r="J166" s="306">
        <f>JAN!$W$56</f>
        <v>0</v>
      </c>
      <c r="K166" s="306">
        <f>FEV!$W$56</f>
        <v>0</v>
      </c>
      <c r="L166" s="306">
        <f>MAR!$W$56</f>
        <v>0</v>
      </c>
      <c r="M166" s="306">
        <f>AVR!$W$56</f>
        <v>0</v>
      </c>
      <c r="N166" s="306">
        <f>MAI!$W$56</f>
        <v>0</v>
      </c>
      <c r="O166" s="306">
        <f>JUN!$W$56</f>
        <v>0</v>
      </c>
      <c r="P166" s="306">
        <f>JUL!$W$56</f>
        <v>0</v>
      </c>
      <c r="Q166" s="306">
        <f>AOÛ!$W$56</f>
        <v>0</v>
      </c>
      <c r="R166" s="306">
        <f>SEP!$W$56</f>
        <v>0</v>
      </c>
      <c r="S166" s="306">
        <f>OCT!$W$56</f>
        <v>0</v>
      </c>
      <c r="T166" s="306">
        <f>NOV!$W$56</f>
        <v>0</v>
      </c>
      <c r="U166" s="306">
        <f>DEC!$W$56</f>
        <v>0</v>
      </c>
      <c r="V166" s="307">
        <f t="shared" si="22"/>
        <v>0</v>
      </c>
      <c r="W166" s="306"/>
    </row>
    <row r="167" spans="5:30" x14ac:dyDescent="0.2">
      <c r="E167" s="752"/>
      <c r="F167" s="753"/>
      <c r="G167" s="753"/>
      <c r="H167" s="754"/>
      <c r="I167" s="306"/>
      <c r="J167" s="306"/>
      <c r="K167" s="306"/>
      <c r="L167" s="306"/>
      <c r="M167" s="306"/>
      <c r="N167" s="306"/>
      <c r="O167" s="306"/>
      <c r="P167" s="306"/>
      <c r="Q167" s="306"/>
      <c r="R167" s="306"/>
      <c r="S167" s="306"/>
      <c r="T167" s="306"/>
      <c r="U167" s="306"/>
      <c r="V167" s="307">
        <f t="shared" si="22"/>
        <v>0</v>
      </c>
      <c r="W167" s="306"/>
    </row>
    <row r="170" spans="5:30" s="185" customFormat="1" ht="18.95" customHeight="1" x14ac:dyDescent="0.2">
      <c r="E170" s="313" t="s">
        <v>163</v>
      </c>
      <c r="F170" s="313"/>
    </row>
    <row r="171" spans="5:30" x14ac:dyDescent="0.2">
      <c r="E171" s="743"/>
      <c r="F171" s="744"/>
      <c r="G171" s="744"/>
      <c r="H171" s="745"/>
      <c r="I171" s="314"/>
      <c r="J171" s="274">
        <v>1</v>
      </c>
      <c r="K171" s="274">
        <v>2</v>
      </c>
      <c r="L171" s="274">
        <v>3</v>
      </c>
      <c r="M171" s="274">
        <v>4</v>
      </c>
      <c r="N171" s="274">
        <v>5</v>
      </c>
      <c r="O171" s="274">
        <v>6</v>
      </c>
      <c r="P171" s="274">
        <v>7</v>
      </c>
      <c r="Q171" s="274">
        <v>8</v>
      </c>
      <c r="R171" s="274">
        <v>9</v>
      </c>
      <c r="S171" s="274">
        <v>10</v>
      </c>
      <c r="T171" s="274">
        <v>11</v>
      </c>
      <c r="U171" s="274">
        <v>12</v>
      </c>
      <c r="V171" s="274"/>
      <c r="W171" s="314"/>
      <c r="X171" s="444"/>
      <c r="Y171" s="444"/>
      <c r="Z171" s="445"/>
      <c r="AA171" s="445" t="s">
        <v>504</v>
      </c>
      <c r="AB171" s="486"/>
      <c r="AD171" s="443" t="s">
        <v>113</v>
      </c>
    </row>
    <row r="172" spans="5:30" x14ac:dyDescent="0.2">
      <c r="E172" s="746"/>
      <c r="F172" s="747"/>
      <c r="G172" s="747"/>
      <c r="H172" s="748"/>
      <c r="I172" s="275"/>
      <c r="J172" s="275" t="s">
        <v>68</v>
      </c>
      <c r="K172" s="275" t="s">
        <v>69</v>
      </c>
      <c r="L172" s="275" t="s">
        <v>70</v>
      </c>
      <c r="M172" s="275" t="s">
        <v>71</v>
      </c>
      <c r="N172" s="275" t="s">
        <v>72</v>
      </c>
      <c r="O172" s="275" t="s">
        <v>73</v>
      </c>
      <c r="P172" s="275" t="s">
        <v>74</v>
      </c>
      <c r="Q172" s="275" t="s">
        <v>75</v>
      </c>
      <c r="R172" s="275" t="s">
        <v>76</v>
      </c>
      <c r="S172" s="275" t="s">
        <v>77</v>
      </c>
      <c r="T172" s="275" t="s">
        <v>78</v>
      </c>
      <c r="U172" s="275" t="s">
        <v>79</v>
      </c>
      <c r="V172" s="275" t="s">
        <v>545</v>
      </c>
      <c r="W172" s="275"/>
    </row>
    <row r="173" spans="5:30" x14ac:dyDescent="0.2">
      <c r="E173" s="749" t="s">
        <v>213</v>
      </c>
      <c r="F173" s="750"/>
      <c r="G173" s="750"/>
      <c r="H173" s="751"/>
      <c r="I173" s="306"/>
      <c r="J173" s="322">
        <f>JAN!$AM$21</f>
        <v>2</v>
      </c>
      <c r="K173" s="322">
        <f>FEV!$AM$21</f>
        <v>0</v>
      </c>
      <c r="L173" s="322">
        <f>MAR!$AM$21</f>
        <v>0</v>
      </c>
      <c r="M173" s="322">
        <f>AVR!$AM$21</f>
        <v>2</v>
      </c>
      <c r="N173" s="322">
        <f>MAI!$AM$21</f>
        <v>3</v>
      </c>
      <c r="O173" s="322">
        <f>JUN!$AM$21</f>
        <v>0</v>
      </c>
      <c r="P173" s="322">
        <f>JUL!$AM$21</f>
        <v>0</v>
      </c>
      <c r="Q173" s="322">
        <f>AOÛ!$AM$21</f>
        <v>0</v>
      </c>
      <c r="R173" s="322">
        <f>SEP!$AM$21</f>
        <v>0</v>
      </c>
      <c r="S173" s="322">
        <f>OCT!$AM$21</f>
        <v>0</v>
      </c>
      <c r="T173" s="322">
        <f>NOV!$AM$21</f>
        <v>0</v>
      </c>
      <c r="U173" s="322">
        <f>DEC!$AM$21</f>
        <v>2</v>
      </c>
      <c r="V173" s="307">
        <f>SUM(I173:U173)</f>
        <v>9</v>
      </c>
      <c r="W173" s="306"/>
    </row>
    <row r="174" spans="5:30" x14ac:dyDescent="0.2">
      <c r="E174" s="749" t="s">
        <v>214</v>
      </c>
      <c r="F174" s="750"/>
      <c r="G174" s="750"/>
      <c r="H174" s="751"/>
      <c r="I174" s="306"/>
      <c r="J174" s="306">
        <f>JAN!$AL$21</f>
        <v>16</v>
      </c>
      <c r="K174" s="306">
        <f>FEV!$AL$21</f>
        <v>0</v>
      </c>
      <c r="L174" s="306">
        <f>MAR!$AL$21</f>
        <v>0</v>
      </c>
      <c r="M174" s="306">
        <f>AVR!$AL$21</f>
        <v>16</v>
      </c>
      <c r="N174" s="306">
        <f>MAI!$AL$21</f>
        <v>24</v>
      </c>
      <c r="O174" s="306">
        <f>JUN!$AL$21</f>
        <v>0</v>
      </c>
      <c r="P174" s="306">
        <f>JUL!$AL$21</f>
        <v>0</v>
      </c>
      <c r="Q174" s="306">
        <f>AOÛ!$AL$21</f>
        <v>0</v>
      </c>
      <c r="R174" s="306">
        <f>SEP!$AL$21</f>
        <v>0</v>
      </c>
      <c r="S174" s="306">
        <f>OCT!$AL$21</f>
        <v>0</v>
      </c>
      <c r="T174" s="306">
        <f>NOV!$AL$21</f>
        <v>0</v>
      </c>
      <c r="U174" s="306">
        <f>DEC!$AL$21</f>
        <v>16</v>
      </c>
      <c r="V174" s="307">
        <f t="shared" si="22"/>
        <v>72</v>
      </c>
      <c r="W174" s="306"/>
    </row>
    <row r="175" spans="5:30" x14ac:dyDescent="0.2">
      <c r="E175" s="304"/>
    </row>
    <row r="177" spans="5:30" s="185" customFormat="1" ht="18.95" customHeight="1" x14ac:dyDescent="0.2">
      <c r="E177" s="313" t="s">
        <v>164</v>
      </c>
      <c r="F177" s="313" t="s">
        <v>215</v>
      </c>
    </row>
    <row r="178" spans="5:30" x14ac:dyDescent="0.2">
      <c r="E178" s="743"/>
      <c r="F178" s="744"/>
      <c r="G178" s="744"/>
      <c r="H178" s="745"/>
      <c r="I178" s="314" t="s">
        <v>216</v>
      </c>
      <c r="J178" s="274">
        <v>1</v>
      </c>
      <c r="K178" s="274">
        <v>2</v>
      </c>
      <c r="L178" s="274">
        <v>3</v>
      </c>
      <c r="M178" s="274">
        <v>4</v>
      </c>
      <c r="N178" s="274">
        <v>5</v>
      </c>
      <c r="O178" s="274">
        <v>6</v>
      </c>
      <c r="P178" s="274">
        <v>7</v>
      </c>
      <c r="Q178" s="274">
        <v>8</v>
      </c>
      <c r="R178" s="274">
        <v>9</v>
      </c>
      <c r="S178" s="274">
        <v>10</v>
      </c>
      <c r="T178" s="274">
        <v>11</v>
      </c>
      <c r="U178" s="274">
        <v>12</v>
      </c>
      <c r="V178" s="274"/>
      <c r="W178" s="314" t="s">
        <v>217</v>
      </c>
      <c r="X178" s="444"/>
      <c r="Y178" s="444"/>
      <c r="Z178" s="445"/>
      <c r="AA178" s="445" t="s">
        <v>504</v>
      </c>
      <c r="AB178" s="486"/>
      <c r="AD178" s="443" t="s">
        <v>113</v>
      </c>
    </row>
    <row r="179" spans="5:30" x14ac:dyDescent="0.2">
      <c r="E179" s="746"/>
      <c r="F179" s="747"/>
      <c r="G179" s="747"/>
      <c r="H179" s="748"/>
      <c r="I179" s="275" t="s">
        <v>151</v>
      </c>
      <c r="J179" s="275" t="s">
        <v>68</v>
      </c>
      <c r="K179" s="275" t="s">
        <v>69</v>
      </c>
      <c r="L179" s="275" t="s">
        <v>70</v>
      </c>
      <c r="M179" s="275" t="s">
        <v>71</v>
      </c>
      <c r="N179" s="275" t="s">
        <v>72</v>
      </c>
      <c r="O179" s="275" t="s">
        <v>73</v>
      </c>
      <c r="P179" s="275" t="s">
        <v>74</v>
      </c>
      <c r="Q179" s="275" t="s">
        <v>75</v>
      </c>
      <c r="R179" s="275" t="s">
        <v>76</v>
      </c>
      <c r="S179" s="275" t="s">
        <v>77</v>
      </c>
      <c r="T179" s="275" t="s">
        <v>78</v>
      </c>
      <c r="U179" s="275" t="s">
        <v>79</v>
      </c>
      <c r="V179" s="275" t="s">
        <v>545</v>
      </c>
      <c r="W179" s="275" t="s">
        <v>153</v>
      </c>
    </row>
    <row r="180" spans="5:30" x14ac:dyDescent="0.2">
      <c r="E180" s="749" t="s">
        <v>576</v>
      </c>
      <c r="F180" s="750"/>
      <c r="G180" s="750"/>
      <c r="H180" s="751"/>
      <c r="I180" s="306">
        <f>B_fldFerienVJ</f>
        <v>0</v>
      </c>
      <c r="J180" s="306"/>
      <c r="K180" s="306"/>
      <c r="L180" s="306"/>
      <c r="M180" s="306"/>
      <c r="N180" s="306"/>
      <c r="O180" s="306"/>
      <c r="P180" s="306"/>
      <c r="Q180" s="306"/>
      <c r="R180" s="306"/>
      <c r="S180" s="306"/>
      <c r="T180" s="306"/>
      <c r="U180" s="306"/>
      <c r="V180" s="307">
        <f>SUM(I180:U180)</f>
        <v>0</v>
      </c>
      <c r="W180" s="306"/>
    </row>
    <row r="181" spans="5:30" x14ac:dyDescent="0.2">
      <c r="E181" s="749" t="s">
        <v>577</v>
      </c>
      <c r="F181" s="750"/>
      <c r="G181" s="750"/>
      <c r="H181" s="751"/>
      <c r="I181" s="306">
        <f ca="1">B_fldFerienBasis</f>
        <v>176</v>
      </c>
      <c r="J181" s="306"/>
      <c r="K181" s="306"/>
      <c r="L181" s="306"/>
      <c r="M181" s="306"/>
      <c r="N181" s="306"/>
      <c r="O181" s="306"/>
      <c r="P181" s="306"/>
      <c r="Q181" s="306"/>
      <c r="R181" s="306"/>
      <c r="S181" s="306"/>
      <c r="T181" s="306"/>
      <c r="U181" s="306"/>
      <c r="V181" s="307">
        <f ca="1">SUM(I181:U181)</f>
        <v>176</v>
      </c>
      <c r="W181" s="306"/>
    </row>
    <row r="182" spans="5:30" x14ac:dyDescent="0.2">
      <c r="E182" s="749" t="s">
        <v>218</v>
      </c>
      <c r="F182" s="750"/>
      <c r="G182" s="750"/>
      <c r="H182" s="751"/>
      <c r="I182" s="306"/>
      <c r="J182" s="306">
        <f>JAN!$AH$56</f>
        <v>0</v>
      </c>
      <c r="K182" s="306">
        <f>FEV!$AH$56</f>
        <v>0</v>
      </c>
      <c r="L182" s="306">
        <f>MAR!$AH$56</f>
        <v>0</v>
      </c>
      <c r="M182" s="306">
        <f>AVR!$AH$56</f>
        <v>0</v>
      </c>
      <c r="N182" s="306">
        <f>MAI!$AH$56</f>
        <v>0</v>
      </c>
      <c r="O182" s="306">
        <f>JUN!$AH$56</f>
        <v>0</v>
      </c>
      <c r="P182" s="306">
        <f>JUL!$AH$56</f>
        <v>0</v>
      </c>
      <c r="Q182" s="306">
        <f>AOÛ!$AH$56</f>
        <v>0</v>
      </c>
      <c r="R182" s="306">
        <f>SEP!$AH$56</f>
        <v>0</v>
      </c>
      <c r="S182" s="306">
        <f>OCT!$AH$56</f>
        <v>0</v>
      </c>
      <c r="T182" s="306">
        <f>NOV!$AH$56</f>
        <v>0</v>
      </c>
      <c r="U182" s="306">
        <f>DEC!$AH$56</f>
        <v>0</v>
      </c>
      <c r="V182" s="307">
        <f>SUM(J182:U182)</f>
        <v>0</v>
      </c>
      <c r="W182" s="538">
        <f ca="1">SUM(V180:V182)</f>
        <v>176</v>
      </c>
      <c r="Z182" s="537" t="s">
        <v>589</v>
      </c>
    </row>
    <row r="183" spans="5:30" x14ac:dyDescent="0.2">
      <c r="E183" s="749" t="s">
        <v>219</v>
      </c>
      <c r="F183" s="750"/>
      <c r="G183" s="750"/>
      <c r="H183" s="751"/>
      <c r="I183" s="306"/>
      <c r="J183" s="306">
        <f>JAN!$AL$36</f>
        <v>0</v>
      </c>
      <c r="K183" s="306">
        <f>FEV!$AL$36</f>
        <v>0</v>
      </c>
      <c r="L183" s="306">
        <f>MAR!$AL$36</f>
        <v>0</v>
      </c>
      <c r="M183" s="306">
        <f>AVR!$AL$36</f>
        <v>0</v>
      </c>
      <c r="N183" s="316">
        <f>MAI!$AL$36</f>
        <v>0</v>
      </c>
      <c r="O183" s="306">
        <f>JUN!$AL$36</f>
        <v>0</v>
      </c>
      <c r="P183" s="306">
        <f>JUL!$AL$36</f>
        <v>0</v>
      </c>
      <c r="Q183" s="306">
        <f>AOÛ!$AL$36</f>
        <v>0</v>
      </c>
      <c r="R183" s="306">
        <f>SEP!$AL$36</f>
        <v>0</v>
      </c>
      <c r="S183" s="306">
        <f>OCT!$AL$36</f>
        <v>0</v>
      </c>
      <c r="T183" s="306">
        <f>NOV!$AL$36</f>
        <v>0</v>
      </c>
      <c r="U183" s="306">
        <f>DEC!$AL$36</f>
        <v>0</v>
      </c>
      <c r="V183" s="307">
        <f t="shared" ref="V183" si="23">SUM(I183:U183)</f>
        <v>0</v>
      </c>
      <c r="W183" s="306"/>
    </row>
    <row r="184" spans="5:30" x14ac:dyDescent="0.2">
      <c r="E184" s="757" t="s">
        <v>220</v>
      </c>
      <c r="F184" s="761"/>
      <c r="G184" s="761"/>
      <c r="H184" s="762"/>
      <c r="I184" s="306">
        <f ca="1">SUM(I180:I182)-I183</f>
        <v>176</v>
      </c>
      <c r="J184" s="306">
        <f ca="1">I184+SUM(J180:J182)-J183</f>
        <v>176</v>
      </c>
      <c r="K184" s="306">
        <f t="shared" ref="K184:U184" ca="1" si="24">J184+SUM(K180:K182)-K183</f>
        <v>176</v>
      </c>
      <c r="L184" s="306">
        <f t="shared" ca="1" si="24"/>
        <v>176</v>
      </c>
      <c r="M184" s="306">
        <f t="shared" ca="1" si="24"/>
        <v>176</v>
      </c>
      <c r="N184" s="306">
        <f t="shared" ca="1" si="24"/>
        <v>176</v>
      </c>
      <c r="O184" s="306">
        <f t="shared" ca="1" si="24"/>
        <v>176</v>
      </c>
      <c r="P184" s="306">
        <f t="shared" ca="1" si="24"/>
        <v>176</v>
      </c>
      <c r="Q184" s="306">
        <f t="shared" ca="1" si="24"/>
        <v>176</v>
      </c>
      <c r="R184" s="306">
        <f t="shared" ca="1" si="24"/>
        <v>176</v>
      </c>
      <c r="S184" s="306">
        <f t="shared" ca="1" si="24"/>
        <v>176</v>
      </c>
      <c r="T184" s="306">
        <f t="shared" ca="1" si="24"/>
        <v>176</v>
      </c>
      <c r="U184" s="306">
        <f t="shared" ca="1" si="24"/>
        <v>176</v>
      </c>
      <c r="V184" s="307"/>
      <c r="W184" s="306">
        <f ca="1">U184</f>
        <v>176</v>
      </c>
    </row>
    <row r="188" spans="5:30" s="185" customFormat="1" ht="18.95" customHeight="1" x14ac:dyDescent="0.2">
      <c r="E188" s="313" t="s">
        <v>166</v>
      </c>
      <c r="X188" s="128"/>
      <c r="Y188" s="128"/>
    </row>
    <row r="189" spans="5:30" x14ac:dyDescent="0.2">
      <c r="E189" s="743"/>
      <c r="F189" s="744"/>
      <c r="G189" s="744"/>
      <c r="H189" s="745"/>
      <c r="I189" s="274"/>
      <c r="J189" s="274">
        <v>1</v>
      </c>
      <c r="K189" s="274">
        <v>2</v>
      </c>
      <c r="L189" s="274">
        <v>3</v>
      </c>
      <c r="M189" s="274">
        <v>4</v>
      </c>
      <c r="N189" s="274">
        <v>5</v>
      </c>
      <c r="O189" s="274">
        <v>6</v>
      </c>
      <c r="P189" s="274">
        <v>7</v>
      </c>
      <c r="Q189" s="274">
        <v>8</v>
      </c>
      <c r="R189" s="274">
        <v>9</v>
      </c>
      <c r="S189" s="274">
        <v>10</v>
      </c>
      <c r="T189" s="274">
        <v>11</v>
      </c>
      <c r="U189" s="274">
        <v>12</v>
      </c>
      <c r="V189" s="274"/>
      <c r="W189" s="274"/>
      <c r="X189" s="444"/>
      <c r="Y189" s="444"/>
      <c r="Z189" s="445"/>
      <c r="AA189" s="445" t="s">
        <v>504</v>
      </c>
      <c r="AB189" s="486"/>
      <c r="AD189" s="443" t="s">
        <v>113</v>
      </c>
    </row>
    <row r="190" spans="5:30" x14ac:dyDescent="0.2">
      <c r="E190" s="746"/>
      <c r="F190" s="747"/>
      <c r="G190" s="747"/>
      <c r="H190" s="748"/>
      <c r="I190" s="275"/>
      <c r="J190" s="275" t="s">
        <v>68</v>
      </c>
      <c r="K190" s="275" t="s">
        <v>69</v>
      </c>
      <c r="L190" s="275" t="s">
        <v>70</v>
      </c>
      <c r="M190" s="275" t="s">
        <v>71</v>
      </c>
      <c r="N190" s="275" t="s">
        <v>72</v>
      </c>
      <c r="O190" s="275" t="s">
        <v>73</v>
      </c>
      <c r="P190" s="275" t="s">
        <v>74</v>
      </c>
      <c r="Q190" s="275" t="s">
        <v>75</v>
      </c>
      <c r="R190" s="275" t="s">
        <v>76</v>
      </c>
      <c r="S190" s="275" t="s">
        <v>77</v>
      </c>
      <c r="T190" s="275" t="s">
        <v>78</v>
      </c>
      <c r="U190" s="275" t="s">
        <v>79</v>
      </c>
      <c r="V190" s="275" t="s">
        <v>545</v>
      </c>
      <c r="W190" s="275" t="s">
        <v>153</v>
      </c>
    </row>
    <row r="191" spans="5:30" x14ac:dyDescent="0.2">
      <c r="E191" s="749" t="s">
        <v>186</v>
      </c>
      <c r="F191" s="750"/>
      <c r="G191" s="750"/>
      <c r="H191" s="751"/>
      <c r="I191" s="306"/>
      <c r="J191" s="306">
        <f>JAN!$AL39</f>
        <v>0</v>
      </c>
      <c r="K191" s="306">
        <f>FEV!$AL39</f>
        <v>0</v>
      </c>
      <c r="L191" s="306">
        <f>MAR!$AL39</f>
        <v>0</v>
      </c>
      <c r="M191" s="306">
        <f>AVR!$AL39</f>
        <v>0</v>
      </c>
      <c r="N191" s="306">
        <f>MAI!$AL39</f>
        <v>0</v>
      </c>
      <c r="O191" s="306">
        <f>JUN!$AL39</f>
        <v>0</v>
      </c>
      <c r="P191" s="306">
        <f>JUL!$AL39</f>
        <v>0</v>
      </c>
      <c r="Q191" s="306">
        <f>AOÛ!$AL39</f>
        <v>0</v>
      </c>
      <c r="R191" s="306">
        <f>SEP!$AL39</f>
        <v>0</v>
      </c>
      <c r="S191" s="306">
        <f>OCT!$AL39</f>
        <v>0</v>
      </c>
      <c r="T191" s="306">
        <f>NOV!$AL39</f>
        <v>0</v>
      </c>
      <c r="U191" s="306">
        <f>DEC!$AL39</f>
        <v>0</v>
      </c>
      <c r="V191" s="307">
        <f>SUM(J191:U191)</f>
        <v>0</v>
      </c>
      <c r="W191" s="306"/>
      <c r="X191" s="315" t="s">
        <v>187</v>
      </c>
      <c r="Y191" s="315"/>
      <c r="Z191" s="12" t="s">
        <v>188</v>
      </c>
    </row>
    <row r="192" spans="5:30" x14ac:dyDescent="0.2">
      <c r="E192" s="749" t="s">
        <v>189</v>
      </c>
      <c r="F192" s="750"/>
      <c r="G192" s="750"/>
      <c r="H192" s="751"/>
      <c r="I192" s="306"/>
      <c r="J192" s="306">
        <f>JAN!$AL40</f>
        <v>0</v>
      </c>
      <c r="K192" s="306">
        <f>FEV!$AL40</f>
        <v>0</v>
      </c>
      <c r="L192" s="306">
        <f>MAR!$AL40</f>
        <v>0</v>
      </c>
      <c r="M192" s="306">
        <f>AVR!$AL40</f>
        <v>0</v>
      </c>
      <c r="N192" s="306">
        <f>MAI!$AL40</f>
        <v>0</v>
      </c>
      <c r="O192" s="306">
        <f>JUN!$AL40</f>
        <v>0</v>
      </c>
      <c r="P192" s="306">
        <f>JUL!$AL40</f>
        <v>0</v>
      </c>
      <c r="Q192" s="306">
        <f>AOÛ!$AL40</f>
        <v>0</v>
      </c>
      <c r="R192" s="306">
        <f>SEP!$AL40</f>
        <v>0</v>
      </c>
      <c r="S192" s="306">
        <f>OCT!$AL40</f>
        <v>0</v>
      </c>
      <c r="T192" s="306">
        <f>NOV!$AL40</f>
        <v>0</v>
      </c>
      <c r="U192" s="306">
        <f>DEC!$AL40</f>
        <v>0</v>
      </c>
      <c r="V192" s="307">
        <f t="shared" ref="V192" si="25">SUM(J192:U192)</f>
        <v>0</v>
      </c>
      <c r="W192" s="306"/>
      <c r="X192" s="315" t="s">
        <v>190</v>
      </c>
      <c r="Y192" s="315"/>
      <c r="Z192" s="12" t="s">
        <v>191</v>
      </c>
    </row>
    <row r="193" spans="5:30" x14ac:dyDescent="0.2">
      <c r="E193" s="774" t="s">
        <v>221</v>
      </c>
      <c r="F193" s="775"/>
      <c r="G193" s="775"/>
      <c r="H193" s="776"/>
      <c r="I193" s="306"/>
      <c r="J193" s="306" cm="1">
        <f t="array" ref="J193">SUMPRODUCT((JAN!$F$40:$AJ$40)*(JAN!$F$53:$AJ$53="x"))</f>
        <v>0</v>
      </c>
      <c r="K193" s="306" cm="1">
        <f t="array" ref="K193">SUMPRODUCT((FEV!$F$40:$AJ$40)*(FEV!$F$53:$AJ$53="x"))</f>
        <v>0</v>
      </c>
      <c r="L193" s="306" cm="1">
        <f t="array" ref="L193">SUMPRODUCT((MAR!$F$40:$AJ$40)*(MAR!$F$53:$AJ$53="x"))</f>
        <v>0</v>
      </c>
      <c r="M193" s="306" cm="1">
        <f t="array" ref="M193">SUMPRODUCT((AVR!$F$40:$AJ$40)*(AVR!$F$53:$AJ$53="x"))</f>
        <v>0</v>
      </c>
      <c r="N193" s="306" cm="1">
        <f t="array" ref="N193">SUMPRODUCT((MAI!$F$40:$AJ$40)*(MAI!$F$53:$AJ$53="x"))</f>
        <v>0</v>
      </c>
      <c r="O193" s="306" cm="1">
        <f t="array" ref="O193">SUMPRODUCT((JUN!$F$40:$AJ$40)*(JUN!$F$53:$AJ$53="x"))</f>
        <v>0</v>
      </c>
      <c r="P193" s="306" cm="1">
        <f t="array" ref="P193">SUMPRODUCT((JUL!$F$40:$AJ$40)*(JUL!$F$53:$AJ$53="x"))</f>
        <v>0</v>
      </c>
      <c r="Q193" s="306" cm="1">
        <f t="array" ref="Q193">SUMPRODUCT((AOÛ!$F$40:$AJ$40)*(AOÛ!$F$53:$AJ$53="x"))</f>
        <v>0</v>
      </c>
      <c r="R193" s="306" cm="1">
        <f t="array" ref="R193">SUMPRODUCT((SEP!$F$40:$AJ$40)*(SEP!$F$53:$AJ$53="x"))</f>
        <v>0</v>
      </c>
      <c r="S193" s="306" cm="1">
        <f t="array" ref="S193">SUMPRODUCT((OCT!$F$40:$AJ$40)*(OCT!$F$53:$AJ$53="x"))</f>
        <v>0</v>
      </c>
      <c r="T193" s="306" cm="1">
        <f t="array" ref="T193">SUMPRODUCT((NOV!$F$40:$AJ$40)*(NOV!$F$53:$AJ$53="x"))</f>
        <v>0</v>
      </c>
      <c r="U193" s="306" cm="1">
        <f t="array" ref="U193">SUMPRODUCT((DEC!$F$40:$AJ$40)*(DEC!$F$53:$AJ$53="x"))</f>
        <v>0</v>
      </c>
      <c r="V193" s="549">
        <f>SUM($J$193:$U$193)</f>
        <v>0</v>
      </c>
      <c r="W193" s="306"/>
      <c r="X193" s="315"/>
      <c r="Y193" s="315"/>
      <c r="Z193" s="12"/>
    </row>
    <row r="194" spans="5:30" x14ac:dyDescent="0.2">
      <c r="E194" s="749" t="s">
        <v>192</v>
      </c>
      <c r="F194" s="750"/>
      <c r="G194" s="750"/>
      <c r="H194" s="751"/>
      <c r="I194" s="306"/>
      <c r="J194" s="306">
        <f>JAN!$AL41</f>
        <v>0</v>
      </c>
      <c r="K194" s="306">
        <f>FEV!$AL41</f>
        <v>0</v>
      </c>
      <c r="L194" s="306">
        <f>MAR!$AL41</f>
        <v>0</v>
      </c>
      <c r="M194" s="306">
        <f>AVR!$AL41</f>
        <v>0</v>
      </c>
      <c r="N194" s="306">
        <f>MAI!$AL41</f>
        <v>0</v>
      </c>
      <c r="O194" s="306">
        <f>JUN!$AL41</f>
        <v>0</v>
      </c>
      <c r="P194" s="306">
        <f>JUL!$AL41</f>
        <v>0</v>
      </c>
      <c r="Q194" s="306">
        <f>AOÛ!$AL41</f>
        <v>0</v>
      </c>
      <c r="R194" s="306">
        <f>SEP!$AL41</f>
        <v>0</v>
      </c>
      <c r="S194" s="306">
        <f>OCT!$AL41</f>
        <v>0</v>
      </c>
      <c r="T194" s="306">
        <f>NOV!$AL41</f>
        <v>0</v>
      </c>
      <c r="U194" s="306">
        <f>DEC!$AL41</f>
        <v>0</v>
      </c>
      <c r="V194" s="307">
        <f>SUM(J194:U194)</f>
        <v>0</v>
      </c>
      <c r="W194" s="306"/>
      <c r="X194" s="315" t="s">
        <v>193</v>
      </c>
      <c r="Y194" s="315"/>
      <c r="Z194" s="12" t="s">
        <v>194</v>
      </c>
    </row>
    <row r="195" spans="5:30" x14ac:dyDescent="0.2">
      <c r="E195" s="749" t="s">
        <v>752</v>
      </c>
      <c r="F195" s="750"/>
      <c r="G195" s="750"/>
      <c r="H195" s="751"/>
      <c r="I195" s="306"/>
      <c r="J195" s="306">
        <f>JAN!$AL42</f>
        <v>0</v>
      </c>
      <c r="K195" s="306">
        <f>FEV!$AL42</f>
        <v>0</v>
      </c>
      <c r="L195" s="306">
        <f>MAR!$AL42</f>
        <v>0</v>
      </c>
      <c r="M195" s="306">
        <f>AVR!$AL42</f>
        <v>0</v>
      </c>
      <c r="N195" s="306">
        <f>MAI!$AL42</f>
        <v>0</v>
      </c>
      <c r="O195" s="306">
        <f>JUN!$AL42</f>
        <v>0</v>
      </c>
      <c r="P195" s="306">
        <f>JUL!$AL42</f>
        <v>0</v>
      </c>
      <c r="Q195" s="306">
        <f>AOÛ!$AL42</f>
        <v>0</v>
      </c>
      <c r="R195" s="306">
        <f>SEP!$AL42</f>
        <v>0</v>
      </c>
      <c r="S195" s="306">
        <f>OCT!$AL42</f>
        <v>0</v>
      </c>
      <c r="T195" s="306">
        <f>NOV!$AL42</f>
        <v>0</v>
      </c>
      <c r="U195" s="306">
        <f>DEC!$AL42</f>
        <v>0</v>
      </c>
      <c r="V195" s="307">
        <f t="shared" ref="V195" si="26">SUM(J195:U195)</f>
        <v>0</v>
      </c>
      <c r="W195" s="306"/>
      <c r="X195" s="315" t="s">
        <v>753</v>
      </c>
      <c r="Y195" s="315"/>
      <c r="Z195" s="12" t="s">
        <v>197</v>
      </c>
    </row>
    <row r="196" spans="5:30" x14ac:dyDescent="0.2">
      <c r="E196" s="749" t="s">
        <v>195</v>
      </c>
      <c r="F196" s="750"/>
      <c r="G196" s="750"/>
      <c r="H196" s="751"/>
      <c r="I196" s="306"/>
      <c r="J196" s="306">
        <f>JAN!$AL43</f>
        <v>0</v>
      </c>
      <c r="K196" s="306">
        <f>FEV!$AL43</f>
        <v>0</v>
      </c>
      <c r="L196" s="306">
        <f>MAR!$AL43</f>
        <v>0</v>
      </c>
      <c r="M196" s="306">
        <f>AVR!$AL43</f>
        <v>0</v>
      </c>
      <c r="N196" s="306">
        <f>MAI!$AL43</f>
        <v>0</v>
      </c>
      <c r="O196" s="306">
        <f>JUN!$AL43</f>
        <v>0</v>
      </c>
      <c r="P196" s="306">
        <f>JUL!$AL43</f>
        <v>0</v>
      </c>
      <c r="Q196" s="306">
        <f>AOÛ!$AL43</f>
        <v>0</v>
      </c>
      <c r="R196" s="306">
        <f>SEP!$AL43</f>
        <v>0</v>
      </c>
      <c r="S196" s="306">
        <f>OCT!$AL43</f>
        <v>0</v>
      </c>
      <c r="T196" s="306">
        <f>NOV!$AL43</f>
        <v>0</v>
      </c>
      <c r="U196" s="306">
        <f>DEC!$AL43</f>
        <v>0</v>
      </c>
      <c r="V196" s="307">
        <f t="shared" ref="V196:V198" si="27">SUM(J196:U196)</f>
        <v>0</v>
      </c>
      <c r="W196" s="306"/>
      <c r="X196" s="315" t="s">
        <v>196</v>
      </c>
      <c r="Y196" s="315"/>
      <c r="Z196" s="12" t="s">
        <v>197</v>
      </c>
    </row>
    <row r="197" spans="5:30" x14ac:dyDescent="0.2">
      <c r="E197" s="749" t="s">
        <v>198</v>
      </c>
      <c r="F197" s="750"/>
      <c r="G197" s="750"/>
      <c r="H197" s="751"/>
      <c r="I197" s="306"/>
      <c r="J197" s="306">
        <f>JAN!$AL44</f>
        <v>0</v>
      </c>
      <c r="K197" s="306">
        <f>FEV!$AL44</f>
        <v>0</v>
      </c>
      <c r="L197" s="306">
        <f>MAR!$AL44</f>
        <v>0</v>
      </c>
      <c r="M197" s="306">
        <f>AVR!$AL44</f>
        <v>0</v>
      </c>
      <c r="N197" s="306">
        <f>MAI!$AL44</f>
        <v>0</v>
      </c>
      <c r="O197" s="306">
        <f>JUN!$AL44</f>
        <v>0</v>
      </c>
      <c r="P197" s="306">
        <f>JUL!$AL44</f>
        <v>0</v>
      </c>
      <c r="Q197" s="306">
        <f>AOÛ!$AL44</f>
        <v>0</v>
      </c>
      <c r="R197" s="306">
        <f>SEP!$AL44</f>
        <v>0</v>
      </c>
      <c r="S197" s="306">
        <f>OCT!$AL44</f>
        <v>0</v>
      </c>
      <c r="T197" s="306">
        <f>NOV!$AL44</f>
        <v>0</v>
      </c>
      <c r="U197" s="306">
        <f>DEC!$AL44</f>
        <v>0</v>
      </c>
      <c r="V197" s="307">
        <f>SUM(J197:U197)</f>
        <v>0</v>
      </c>
      <c r="W197" s="306"/>
      <c r="X197" s="315" t="s">
        <v>199</v>
      </c>
      <c r="Y197" s="315"/>
      <c r="Z197" s="12" t="s">
        <v>200</v>
      </c>
    </row>
    <row r="198" spans="5:30" x14ac:dyDescent="0.2">
      <c r="E198" s="749" t="s">
        <v>201</v>
      </c>
      <c r="F198" s="750"/>
      <c r="G198" s="750"/>
      <c r="H198" s="751"/>
      <c r="I198" s="306"/>
      <c r="J198" s="306">
        <f>JAN!$AL45</f>
        <v>0</v>
      </c>
      <c r="K198" s="306">
        <f>FEV!$AL45</f>
        <v>0</v>
      </c>
      <c r="L198" s="306">
        <f>MAR!$AL45</f>
        <v>0</v>
      </c>
      <c r="M198" s="306">
        <f>AVR!$AL45</f>
        <v>0</v>
      </c>
      <c r="N198" s="306">
        <f>MAI!$AL45</f>
        <v>0</v>
      </c>
      <c r="O198" s="306">
        <f>JUN!$AL45</f>
        <v>0</v>
      </c>
      <c r="P198" s="306">
        <f>JUL!$AL45</f>
        <v>0</v>
      </c>
      <c r="Q198" s="306">
        <f>AOÛ!$AL45</f>
        <v>0</v>
      </c>
      <c r="R198" s="306">
        <f>SEP!$AL45</f>
        <v>0</v>
      </c>
      <c r="S198" s="306">
        <f>OCT!$AL45</f>
        <v>0</v>
      </c>
      <c r="T198" s="306">
        <f>NOV!$AL45</f>
        <v>0</v>
      </c>
      <c r="U198" s="306">
        <f>DEC!$AL45</f>
        <v>0</v>
      </c>
      <c r="V198" s="307">
        <f t="shared" si="27"/>
        <v>0</v>
      </c>
      <c r="W198" s="306"/>
      <c r="X198" s="315" t="s">
        <v>202</v>
      </c>
      <c r="Y198" s="315"/>
    </row>
    <row r="199" spans="5:30" x14ac:dyDescent="0.2">
      <c r="E199" s="749" t="s">
        <v>203</v>
      </c>
      <c r="F199" s="750"/>
      <c r="G199" s="750"/>
      <c r="H199" s="751"/>
      <c r="I199" s="306"/>
      <c r="J199" s="306">
        <f>JAN!$AL46</f>
        <v>0</v>
      </c>
      <c r="K199" s="306">
        <f>FEV!$AL46</f>
        <v>0</v>
      </c>
      <c r="L199" s="306">
        <f>MAR!$AL46</f>
        <v>0</v>
      </c>
      <c r="M199" s="306">
        <f>AVR!$AL46</f>
        <v>0</v>
      </c>
      <c r="N199" s="306">
        <f>MAI!$AL46</f>
        <v>0</v>
      </c>
      <c r="O199" s="306">
        <f>JUN!$AL46</f>
        <v>0</v>
      </c>
      <c r="P199" s="306">
        <f>JUL!$AL46</f>
        <v>0</v>
      </c>
      <c r="Q199" s="306">
        <f>AOÛ!$AL46</f>
        <v>0</v>
      </c>
      <c r="R199" s="306">
        <f>SEP!$AL46</f>
        <v>0</v>
      </c>
      <c r="S199" s="306">
        <f>OCT!$AL46</f>
        <v>0</v>
      </c>
      <c r="T199" s="306">
        <f>NOV!$AL46</f>
        <v>0</v>
      </c>
      <c r="U199" s="306">
        <f>DEC!$AL46</f>
        <v>0</v>
      </c>
      <c r="V199" s="307">
        <f t="shared" ref="V199" si="28">SUM(J199:U199)</f>
        <v>0</v>
      </c>
      <c r="W199" s="306"/>
      <c r="X199" s="315" t="s">
        <v>204</v>
      </c>
      <c r="Y199" s="315"/>
    </row>
    <row r="200" spans="5:30" x14ac:dyDescent="0.2">
      <c r="E200" s="749" t="s">
        <v>205</v>
      </c>
      <c r="F200" s="750"/>
      <c r="G200" s="750"/>
      <c r="H200" s="751"/>
      <c r="I200" s="306"/>
      <c r="J200" s="306">
        <f>JAN!$AL47</f>
        <v>0</v>
      </c>
      <c r="K200" s="306">
        <f>FEV!$AL47</f>
        <v>0</v>
      </c>
      <c r="L200" s="306">
        <f>MAR!$AL47</f>
        <v>0</v>
      </c>
      <c r="M200" s="306">
        <f>AVR!$AL47</f>
        <v>0</v>
      </c>
      <c r="N200" s="306">
        <f>MAI!$AL47</f>
        <v>0</v>
      </c>
      <c r="O200" s="306">
        <f>JUN!$AL47</f>
        <v>0</v>
      </c>
      <c r="P200" s="306">
        <f>JUL!$AL47</f>
        <v>0</v>
      </c>
      <c r="Q200" s="306">
        <f>AOÛ!$AL47</f>
        <v>0</v>
      </c>
      <c r="R200" s="306">
        <f>SEP!$AL47</f>
        <v>0</v>
      </c>
      <c r="S200" s="306">
        <f>OCT!$AL47</f>
        <v>0</v>
      </c>
      <c r="T200" s="306">
        <f>NOV!$AL47</f>
        <v>0</v>
      </c>
      <c r="U200" s="306">
        <f>DEC!$AL47</f>
        <v>0</v>
      </c>
      <c r="V200" s="307">
        <f>SUM(J200:U200)</f>
        <v>0</v>
      </c>
      <c r="W200" s="306"/>
      <c r="X200" s="315" t="s">
        <v>206</v>
      </c>
      <c r="Y200" s="315"/>
    </row>
    <row r="201" spans="5:30" x14ac:dyDescent="0.2">
      <c r="E201" s="749" t="s">
        <v>597</v>
      </c>
      <c r="F201" s="755"/>
      <c r="G201" s="755"/>
      <c r="H201" s="756"/>
      <c r="I201" s="306"/>
      <c r="J201" s="306">
        <f>JAN!$AL48</f>
        <v>0</v>
      </c>
      <c r="K201" s="306">
        <f>FEV!$AL48</f>
        <v>0</v>
      </c>
      <c r="L201" s="306">
        <f>MAR!$AL48</f>
        <v>0</v>
      </c>
      <c r="M201" s="306">
        <f>AVR!$AL48</f>
        <v>0</v>
      </c>
      <c r="N201" s="306">
        <f>MAI!$AL48</f>
        <v>0</v>
      </c>
      <c r="O201" s="306">
        <f>JUN!$AL48</f>
        <v>0</v>
      </c>
      <c r="P201" s="306">
        <f>JUL!$AL48</f>
        <v>0</v>
      </c>
      <c r="Q201" s="306">
        <f>AOÛ!$AL48</f>
        <v>0</v>
      </c>
      <c r="R201" s="306">
        <f>SEP!$AL48</f>
        <v>0</v>
      </c>
      <c r="S201" s="306">
        <f>OCT!$AL48</f>
        <v>0</v>
      </c>
      <c r="T201" s="306">
        <f>NOV!$AL48</f>
        <v>0</v>
      </c>
      <c r="U201" s="306">
        <f>DEC!$AL48</f>
        <v>0</v>
      </c>
      <c r="V201" s="307">
        <f>SUM(J201:U201)</f>
        <v>0</v>
      </c>
      <c r="W201" s="306"/>
      <c r="X201" s="315" t="s">
        <v>595</v>
      </c>
      <c r="Y201" s="315"/>
    </row>
    <row r="202" spans="5:30" x14ac:dyDescent="0.2">
      <c r="E202" s="757" t="s">
        <v>596</v>
      </c>
      <c r="F202" s="761"/>
      <c r="G202" s="761"/>
      <c r="H202" s="762"/>
      <c r="I202" s="306"/>
      <c r="J202" s="306">
        <f>SUM(J191:J192,J194:J201)</f>
        <v>0</v>
      </c>
      <c r="K202" s="306">
        <f t="shared" ref="K202:U202" si="29">SUM(K191:K192,K194:K201)</f>
        <v>0</v>
      </c>
      <c r="L202" s="306">
        <f t="shared" si="29"/>
        <v>0</v>
      </c>
      <c r="M202" s="306">
        <f t="shared" si="29"/>
        <v>0</v>
      </c>
      <c r="N202" s="306">
        <f t="shared" si="29"/>
        <v>0</v>
      </c>
      <c r="O202" s="306">
        <f t="shared" si="29"/>
        <v>0</v>
      </c>
      <c r="P202" s="306">
        <f t="shared" si="29"/>
        <v>0</v>
      </c>
      <c r="Q202" s="306">
        <f t="shared" si="29"/>
        <v>0</v>
      </c>
      <c r="R202" s="306">
        <f t="shared" si="29"/>
        <v>0</v>
      </c>
      <c r="S202" s="306">
        <f t="shared" si="29"/>
        <v>0</v>
      </c>
      <c r="T202" s="306">
        <f t="shared" si="29"/>
        <v>0</v>
      </c>
      <c r="U202" s="306">
        <f t="shared" si="29"/>
        <v>0</v>
      </c>
      <c r="V202" s="307">
        <f>SUM(J202:U202)</f>
        <v>0</v>
      </c>
      <c r="W202" s="306"/>
    </row>
    <row r="205" spans="5:30" s="185" customFormat="1" ht="18.95" customHeight="1" x14ac:dyDescent="0.2">
      <c r="E205" s="313" t="s">
        <v>222</v>
      </c>
      <c r="X205" s="128"/>
      <c r="Y205" s="128"/>
    </row>
    <row r="206" spans="5:30" x14ac:dyDescent="0.2">
      <c r="E206" s="743"/>
      <c r="F206" s="744"/>
      <c r="G206" s="744"/>
      <c r="H206" s="745"/>
      <c r="I206" s="274"/>
      <c r="J206" s="274">
        <v>1</v>
      </c>
      <c r="K206" s="274">
        <v>2</v>
      </c>
      <c r="L206" s="274">
        <v>3</v>
      </c>
      <c r="M206" s="274">
        <v>4</v>
      </c>
      <c r="N206" s="274">
        <v>5</v>
      </c>
      <c r="O206" s="274">
        <v>6</v>
      </c>
      <c r="P206" s="274">
        <v>7</v>
      </c>
      <c r="Q206" s="274">
        <v>8</v>
      </c>
      <c r="R206" s="274">
        <v>9</v>
      </c>
      <c r="S206" s="274">
        <v>10</v>
      </c>
      <c r="T206" s="274">
        <v>11</v>
      </c>
      <c r="U206" s="274">
        <v>12</v>
      </c>
      <c r="V206" s="274"/>
      <c r="W206" s="274"/>
      <c r="X206" s="444"/>
      <c r="Y206" s="444"/>
      <c r="Z206" s="445"/>
      <c r="AA206" s="445" t="s">
        <v>504</v>
      </c>
      <c r="AB206" s="486"/>
      <c r="AD206" s="443" t="s">
        <v>113</v>
      </c>
    </row>
    <row r="207" spans="5:30" x14ac:dyDescent="0.2">
      <c r="E207" s="746"/>
      <c r="F207" s="747"/>
      <c r="G207" s="747"/>
      <c r="H207" s="748"/>
      <c r="I207" s="275" t="s">
        <v>151</v>
      </c>
      <c r="J207" s="275" t="s">
        <v>68</v>
      </c>
      <c r="K207" s="275" t="s">
        <v>69</v>
      </c>
      <c r="L207" s="275" t="s">
        <v>70</v>
      </c>
      <c r="M207" s="275" t="s">
        <v>71</v>
      </c>
      <c r="N207" s="275" t="s">
        <v>72</v>
      </c>
      <c r="O207" s="275" t="s">
        <v>73</v>
      </c>
      <c r="P207" s="275" t="s">
        <v>74</v>
      </c>
      <c r="Q207" s="275" t="s">
        <v>75</v>
      </c>
      <c r="R207" s="275" t="s">
        <v>76</v>
      </c>
      <c r="S207" s="275" t="s">
        <v>77</v>
      </c>
      <c r="T207" s="275" t="s">
        <v>78</v>
      </c>
      <c r="U207" s="275" t="s">
        <v>79</v>
      </c>
      <c r="V207" s="275" t="s">
        <v>545</v>
      </c>
      <c r="W207" s="275" t="s">
        <v>153</v>
      </c>
    </row>
    <row r="208" spans="5:30" x14ac:dyDescent="0.2">
      <c r="E208" s="749" t="s">
        <v>223</v>
      </c>
      <c r="F208" s="750"/>
      <c r="G208" s="750"/>
      <c r="H208" s="751"/>
      <c r="I208" s="306"/>
      <c r="J208" s="306">
        <f>JAN!$AL49</f>
        <v>0</v>
      </c>
      <c r="K208" s="306">
        <f>FEV!$AL49</f>
        <v>0</v>
      </c>
      <c r="L208" s="306">
        <f>MAR!$AL49</f>
        <v>0</v>
      </c>
      <c r="M208" s="306">
        <f>AVR!$AL49</f>
        <v>0</v>
      </c>
      <c r="N208" s="306">
        <f>MAI!$AL49</f>
        <v>0</v>
      </c>
      <c r="O208" s="306">
        <f>JUN!$AL49</f>
        <v>0</v>
      </c>
      <c r="P208" s="306">
        <f>JUL!$AL49</f>
        <v>0</v>
      </c>
      <c r="Q208" s="306">
        <f>AOÛ!$AL49</f>
        <v>0</v>
      </c>
      <c r="R208" s="306">
        <f>SEP!$AL49</f>
        <v>0</v>
      </c>
      <c r="S208" s="306">
        <f>OCT!$AL49</f>
        <v>0</v>
      </c>
      <c r="T208" s="306">
        <f>NOV!$AL49</f>
        <v>0</v>
      </c>
      <c r="U208" s="306">
        <f>DEC!$AL49</f>
        <v>0</v>
      </c>
      <c r="V208" s="307">
        <f>SUM(J208:U208)</f>
        <v>0</v>
      </c>
      <c r="W208" s="306"/>
      <c r="X208" s="315" t="s">
        <v>224</v>
      </c>
      <c r="Y208" s="315"/>
    </row>
    <row r="209" spans="2:30" x14ac:dyDescent="0.2">
      <c r="E209" s="749" t="s">
        <v>225</v>
      </c>
      <c r="F209" s="750"/>
      <c r="G209" s="750"/>
      <c r="H209" s="751"/>
      <c r="I209" s="306"/>
      <c r="J209" s="306">
        <f>JAN!$AL50</f>
        <v>0</v>
      </c>
      <c r="K209" s="306">
        <f>FEV!$AL50</f>
        <v>0</v>
      </c>
      <c r="L209" s="306">
        <f>MAR!$AL50</f>
        <v>0</v>
      </c>
      <c r="M209" s="306">
        <f>AVR!$AL50</f>
        <v>0</v>
      </c>
      <c r="N209" s="306">
        <f>MAI!$AL50</f>
        <v>0</v>
      </c>
      <c r="O209" s="306">
        <f>JUN!$AL50</f>
        <v>0</v>
      </c>
      <c r="P209" s="306">
        <f>JUL!$AL50</f>
        <v>0</v>
      </c>
      <c r="Q209" s="306">
        <f>AOÛ!$AL50</f>
        <v>0</v>
      </c>
      <c r="R209" s="306">
        <f>SEP!$AL50</f>
        <v>0</v>
      </c>
      <c r="S209" s="306">
        <f>OCT!$AL50</f>
        <v>0</v>
      </c>
      <c r="T209" s="306">
        <f>NOV!$AL50</f>
        <v>0</v>
      </c>
      <c r="U209" s="306">
        <f>DEC!$AL50</f>
        <v>0</v>
      </c>
      <c r="V209" s="307">
        <f>SUM(J209:U209)</f>
        <v>0</v>
      </c>
      <c r="W209" s="306"/>
      <c r="X209" s="315" t="s">
        <v>226</v>
      </c>
      <c r="Y209" s="315"/>
    </row>
    <row r="210" spans="2:30" x14ac:dyDescent="0.2">
      <c r="E210" s="752"/>
      <c r="F210" s="753"/>
      <c r="G210" s="753"/>
      <c r="H210" s="754"/>
      <c r="I210" s="306"/>
      <c r="J210" s="306"/>
      <c r="K210" s="306"/>
      <c r="L210" s="306"/>
      <c r="M210" s="306"/>
      <c r="N210" s="306"/>
      <c r="O210" s="306"/>
      <c r="P210" s="306"/>
      <c r="Q210" s="306"/>
      <c r="R210" s="306"/>
      <c r="S210" s="306"/>
      <c r="T210" s="306"/>
      <c r="U210" s="306"/>
      <c r="V210" s="307"/>
      <c r="W210" s="306"/>
    </row>
    <row r="215" spans="2:30" ht="15.75" x14ac:dyDescent="0.2">
      <c r="B215" s="655" t="s">
        <v>564</v>
      </c>
      <c r="C215" s="655"/>
      <c r="D215" s="655"/>
      <c r="E215" s="655"/>
      <c r="F215" s="655"/>
      <c r="G215" s="655"/>
      <c r="H215" s="655"/>
      <c r="I215" s="655"/>
      <c r="J215" s="655"/>
      <c r="K215" s="655"/>
      <c r="L215" s="655"/>
      <c r="M215" s="655"/>
      <c r="N215" s="655"/>
      <c r="O215" s="655"/>
      <c r="P215" s="655"/>
      <c r="Q215" s="655"/>
      <c r="R215" s="655"/>
      <c r="S215" s="655"/>
      <c r="T215" s="655"/>
      <c r="U215" s="655"/>
    </row>
    <row r="217" spans="2:30" s="185" customFormat="1" ht="18.95" customHeight="1" x14ac:dyDescent="0.2">
      <c r="E217" s="313" t="s">
        <v>222</v>
      </c>
      <c r="X217" s="128"/>
      <c r="Y217" s="128"/>
    </row>
    <row r="218" spans="2:30" x14ac:dyDescent="0.2">
      <c r="E218" s="743"/>
      <c r="F218" s="744"/>
      <c r="G218" s="744"/>
      <c r="H218" s="745"/>
      <c r="I218" s="274"/>
      <c r="J218" s="274">
        <v>1</v>
      </c>
      <c r="K218" s="274">
        <v>2</v>
      </c>
      <c r="L218" s="274">
        <v>3</v>
      </c>
      <c r="M218" s="274">
        <v>4</v>
      </c>
      <c r="N218" s="274">
        <v>5</v>
      </c>
      <c r="O218" s="274">
        <v>6</v>
      </c>
      <c r="P218" s="274">
        <v>7</v>
      </c>
      <c r="Q218" s="274">
        <v>8</v>
      </c>
      <c r="R218" s="274">
        <v>9</v>
      </c>
      <c r="S218" s="274">
        <v>10</v>
      </c>
      <c r="T218" s="274">
        <v>11</v>
      </c>
      <c r="U218" s="274">
        <v>12</v>
      </c>
      <c r="V218" s="274"/>
      <c r="W218" s="274"/>
      <c r="X218" s="445"/>
      <c r="Y218" s="445"/>
      <c r="Z218" s="445"/>
      <c r="AA218" s="445"/>
      <c r="AB218" s="486"/>
      <c r="AD218" s="443"/>
    </row>
    <row r="219" spans="2:30" x14ac:dyDescent="0.2">
      <c r="E219" s="746"/>
      <c r="F219" s="747"/>
      <c r="G219" s="747"/>
      <c r="H219" s="748"/>
      <c r="I219" s="275" t="s">
        <v>151</v>
      </c>
      <c r="J219" s="275" t="s">
        <v>68</v>
      </c>
      <c r="K219" s="275" t="s">
        <v>69</v>
      </c>
      <c r="L219" s="275" t="s">
        <v>70</v>
      </c>
      <c r="M219" s="275" t="s">
        <v>71</v>
      </c>
      <c r="N219" s="275" t="s">
        <v>72</v>
      </c>
      <c r="O219" s="275" t="s">
        <v>73</v>
      </c>
      <c r="P219" s="275" t="s">
        <v>74</v>
      </c>
      <c r="Q219" s="275" t="s">
        <v>75</v>
      </c>
      <c r="R219" s="275" t="s">
        <v>76</v>
      </c>
      <c r="S219" s="275" t="s">
        <v>77</v>
      </c>
      <c r="T219" s="275" t="s">
        <v>78</v>
      </c>
      <c r="U219" s="275" t="s">
        <v>79</v>
      </c>
      <c r="V219" s="275" t="s">
        <v>545</v>
      </c>
      <c r="W219" s="275" t="s">
        <v>153</v>
      </c>
    </row>
    <row r="220" spans="2:30" x14ac:dyDescent="0.2">
      <c r="E220" s="749" t="s">
        <v>227</v>
      </c>
      <c r="F220" s="750"/>
      <c r="G220" s="750"/>
      <c r="H220" s="751"/>
      <c r="I220" s="306"/>
      <c r="J220" s="322">
        <f>JAN!$AL$53</f>
        <v>0</v>
      </c>
      <c r="K220" s="322">
        <f>FEV!$AJ$53</f>
        <v>0</v>
      </c>
      <c r="L220" s="322">
        <f>MAR!$AJ$53</f>
        <v>0</v>
      </c>
      <c r="M220" s="322">
        <f>AVR!$AJ$53</f>
        <v>0</v>
      </c>
      <c r="N220" s="322">
        <f>MAI!$AJ$53</f>
        <v>0</v>
      </c>
      <c r="O220" s="322">
        <f>JUN!$AJ$53</f>
        <v>0</v>
      </c>
      <c r="P220" s="322">
        <f>JUL!$AJ$53</f>
        <v>0</v>
      </c>
      <c r="Q220" s="322">
        <f>AOÛ!$AJ$53</f>
        <v>0</v>
      </c>
      <c r="R220" s="322">
        <f>SEP!$AJ$53</f>
        <v>0</v>
      </c>
      <c r="S220" s="322">
        <f>OCT!$AJ$53</f>
        <v>0</v>
      </c>
      <c r="T220" s="322">
        <f>NOV!$AJ$53</f>
        <v>0</v>
      </c>
      <c r="U220" s="322">
        <f>DEC!$AJ$53</f>
        <v>0</v>
      </c>
      <c r="V220" s="307">
        <f>SUM(J220:U220)</f>
        <v>0</v>
      </c>
      <c r="W220" s="306"/>
      <c r="X220" s="315" t="s">
        <v>228</v>
      </c>
      <c r="Y220" s="315"/>
    </row>
    <row r="221" spans="2:30" x14ac:dyDescent="0.2">
      <c r="E221" s="749" t="s">
        <v>229</v>
      </c>
      <c r="F221" s="750"/>
      <c r="G221" s="750"/>
      <c r="H221" s="751"/>
      <c r="I221" s="306"/>
      <c r="J221" s="322">
        <f>JAN!$AL$54</f>
        <v>0</v>
      </c>
      <c r="K221" s="322">
        <f>FEV!$AJ$54</f>
        <v>0</v>
      </c>
      <c r="L221" s="322">
        <f>MAR!$AJ$54</f>
        <v>0</v>
      </c>
      <c r="M221" s="322">
        <f>AVR!$AJ$54</f>
        <v>0</v>
      </c>
      <c r="N221" s="322">
        <f>MAI!$AJ$54</f>
        <v>0</v>
      </c>
      <c r="O221" s="322">
        <f>JUN!$AJ$54</f>
        <v>0</v>
      </c>
      <c r="P221" s="322">
        <f>JUL!$AJ$54</f>
        <v>0</v>
      </c>
      <c r="Q221" s="322">
        <f>AOÛ!$AJ$54</f>
        <v>0</v>
      </c>
      <c r="R221" s="322">
        <f>SEP!$AJ$54</f>
        <v>0</v>
      </c>
      <c r="S221" s="322">
        <f>OCT!$AJ$54</f>
        <v>0</v>
      </c>
      <c r="T221" s="322">
        <f>NOV!$AJ$54</f>
        <v>0</v>
      </c>
      <c r="U221" s="322">
        <f>DEC!$AJ$54</f>
        <v>0</v>
      </c>
      <c r="V221" s="307">
        <f t="shared" ref="V221" si="30">SUM(J221:U221)</f>
        <v>0</v>
      </c>
      <c r="W221" s="306"/>
      <c r="X221" s="315" t="s">
        <v>230</v>
      </c>
      <c r="Y221" s="315"/>
    </row>
    <row r="222" spans="2:30" x14ac:dyDescent="0.2">
      <c r="E222" s="752"/>
      <c r="F222" s="753"/>
      <c r="G222" s="753"/>
      <c r="H222" s="754"/>
      <c r="I222" s="306"/>
      <c r="J222" s="306"/>
      <c r="K222" s="306"/>
      <c r="L222" s="306"/>
      <c r="M222" s="306"/>
      <c r="N222" s="306"/>
      <c r="O222" s="306"/>
      <c r="P222" s="306"/>
      <c r="Q222" s="306"/>
      <c r="R222" s="306"/>
      <c r="S222" s="306"/>
      <c r="T222" s="306"/>
      <c r="U222" s="306"/>
      <c r="V222" s="307"/>
      <c r="W222" s="306"/>
    </row>
    <row r="227" spans="2:30" ht="15.75" x14ac:dyDescent="0.2">
      <c r="B227" s="655" t="s">
        <v>565</v>
      </c>
      <c r="C227" s="655"/>
      <c r="D227" s="655"/>
      <c r="E227" s="655"/>
      <c r="F227" s="655"/>
      <c r="G227" s="655"/>
      <c r="H227" s="655"/>
      <c r="I227" s="655"/>
      <c r="J227" s="655"/>
      <c r="K227" s="655"/>
      <c r="L227" s="655"/>
      <c r="M227" s="655"/>
      <c r="N227" s="655"/>
      <c r="O227" s="655"/>
      <c r="P227" s="655"/>
      <c r="Q227" s="655"/>
      <c r="R227" s="655"/>
      <c r="S227" s="655"/>
      <c r="T227" s="655"/>
      <c r="U227" s="655"/>
    </row>
    <row r="228" spans="2:30" x14ac:dyDescent="0.2">
      <c r="B228" s="12" t="s">
        <v>566</v>
      </c>
    </row>
    <row r="230" spans="2:30" x14ac:dyDescent="0.2">
      <c r="E230" s="743"/>
      <c r="F230" s="744"/>
      <c r="G230" s="744"/>
      <c r="H230" s="745"/>
      <c r="I230" s="274"/>
      <c r="J230" s="274">
        <v>1</v>
      </c>
      <c r="K230" s="274">
        <v>2</v>
      </c>
      <c r="L230" s="274">
        <v>3</v>
      </c>
      <c r="M230" s="274">
        <v>4</v>
      </c>
      <c r="N230" s="274">
        <v>5</v>
      </c>
      <c r="O230" s="274">
        <v>6</v>
      </c>
      <c r="P230" s="274">
        <v>7</v>
      </c>
      <c r="Q230" s="274">
        <v>8</v>
      </c>
      <c r="R230" s="274">
        <v>9</v>
      </c>
      <c r="S230" s="274">
        <v>10</v>
      </c>
      <c r="T230" s="274">
        <v>11</v>
      </c>
      <c r="U230" s="274">
        <v>12</v>
      </c>
      <c r="V230" s="274"/>
      <c r="W230" s="274"/>
      <c r="X230" s="444"/>
      <c r="Y230" s="444"/>
      <c r="Z230" s="445"/>
      <c r="AA230" s="445" t="s">
        <v>504</v>
      </c>
      <c r="AB230" s="486"/>
      <c r="AD230" s="443" t="s">
        <v>113</v>
      </c>
    </row>
    <row r="231" spans="2:30" x14ac:dyDescent="0.2">
      <c r="E231" s="746"/>
      <c r="F231" s="747"/>
      <c r="G231" s="747"/>
      <c r="H231" s="748"/>
      <c r="I231" s="275" t="s">
        <v>151</v>
      </c>
      <c r="J231" s="275" t="s">
        <v>68</v>
      </c>
      <c r="K231" s="275" t="s">
        <v>69</v>
      </c>
      <c r="L231" s="275" t="s">
        <v>70</v>
      </c>
      <c r="M231" s="275" t="s">
        <v>71</v>
      </c>
      <c r="N231" s="275" t="s">
        <v>72</v>
      </c>
      <c r="O231" s="275" t="s">
        <v>73</v>
      </c>
      <c r="P231" s="275" t="s">
        <v>74</v>
      </c>
      <c r="Q231" s="275" t="s">
        <v>75</v>
      </c>
      <c r="R231" s="275" t="s">
        <v>76</v>
      </c>
      <c r="S231" s="275" t="s">
        <v>77</v>
      </c>
      <c r="T231" s="275" t="s">
        <v>78</v>
      </c>
      <c r="U231" s="275" t="s">
        <v>79</v>
      </c>
      <c r="V231" s="275" t="s">
        <v>545</v>
      </c>
      <c r="W231" s="275" t="s">
        <v>153</v>
      </c>
    </row>
    <row r="232" spans="2:30" x14ac:dyDescent="0.2">
      <c r="E232" s="763" t="s">
        <v>554</v>
      </c>
      <c r="F232" s="764"/>
      <c r="G232" s="764"/>
      <c r="H232" s="765"/>
      <c r="I232" s="306">
        <f>I$37</f>
        <v>0</v>
      </c>
      <c r="J232" s="306">
        <f>J$37</f>
        <v>176</v>
      </c>
      <c r="K232" s="306">
        <f t="shared" ref="K232:W232" si="31">K$37</f>
        <v>160</v>
      </c>
      <c r="L232" s="306">
        <f t="shared" si="31"/>
        <v>176</v>
      </c>
      <c r="M232" s="306">
        <f t="shared" si="31"/>
        <v>176</v>
      </c>
      <c r="N232" s="306">
        <f t="shared" si="31"/>
        <v>168</v>
      </c>
      <c r="O232" s="306">
        <f t="shared" si="31"/>
        <v>176</v>
      </c>
      <c r="P232" s="306">
        <f t="shared" si="31"/>
        <v>184</v>
      </c>
      <c r="Q232" s="306">
        <f t="shared" si="31"/>
        <v>168</v>
      </c>
      <c r="R232" s="306">
        <f t="shared" si="31"/>
        <v>176</v>
      </c>
      <c r="S232" s="306">
        <f t="shared" si="31"/>
        <v>176</v>
      </c>
      <c r="T232" s="306">
        <f t="shared" si="31"/>
        <v>168</v>
      </c>
      <c r="U232" s="306">
        <f t="shared" si="31"/>
        <v>184</v>
      </c>
      <c r="V232" s="307">
        <f t="shared" si="31"/>
        <v>2088</v>
      </c>
      <c r="W232" s="306">
        <f t="shared" si="31"/>
        <v>0</v>
      </c>
      <c r="AD232" s="305" t="s">
        <v>170</v>
      </c>
    </row>
    <row r="233" spans="2:30" x14ac:dyDescent="0.2">
      <c r="E233" s="749" t="s">
        <v>557</v>
      </c>
      <c r="F233" s="755"/>
      <c r="G233" s="755"/>
      <c r="H233" s="756"/>
      <c r="I233" s="306"/>
      <c r="J233" s="306">
        <f>JAN!$AM$19</f>
        <v>176</v>
      </c>
      <c r="K233" s="306">
        <f>FEV!$AM$19</f>
        <v>160</v>
      </c>
      <c r="L233" s="306">
        <f>MAR!$AM$19</f>
        <v>176</v>
      </c>
      <c r="M233" s="306">
        <f>AVR!$AM$19</f>
        <v>176</v>
      </c>
      <c r="N233" s="306">
        <f>MAI!$AM$19</f>
        <v>168</v>
      </c>
      <c r="O233" s="306">
        <f>JUN!$AM$19</f>
        <v>176</v>
      </c>
      <c r="P233" s="306">
        <f>JUL!$AM$19</f>
        <v>184</v>
      </c>
      <c r="Q233" s="306">
        <f>AOÛ!$AM$19</f>
        <v>168</v>
      </c>
      <c r="R233" s="306">
        <f>SEP!$AM$19</f>
        <v>176</v>
      </c>
      <c r="S233" s="306">
        <f>OCT!$AM$19</f>
        <v>176</v>
      </c>
      <c r="T233" s="306">
        <f>NOV!$AM$19</f>
        <v>168</v>
      </c>
      <c r="U233" s="306">
        <f>DEC!$AM$19</f>
        <v>184</v>
      </c>
      <c r="V233" s="307">
        <f>SUM($J$60:$U$60)</f>
        <v>2088</v>
      </c>
      <c r="W233" s="306"/>
      <c r="Z233" s="37" t="s">
        <v>558</v>
      </c>
      <c r="AD233" s="305"/>
    </row>
    <row r="234" spans="2:30" x14ac:dyDescent="0.2">
      <c r="E234" s="763" t="s">
        <v>559</v>
      </c>
      <c r="F234" s="766"/>
      <c r="G234" s="766"/>
      <c r="H234" s="767"/>
      <c r="I234" s="306"/>
      <c r="J234" s="306">
        <f>-$J$60</f>
        <v>-176</v>
      </c>
      <c r="K234" s="306">
        <f>-$K$60</f>
        <v>-160</v>
      </c>
      <c r="L234" s="306">
        <f>-$L$60</f>
        <v>-176</v>
      </c>
      <c r="M234" s="306">
        <f>-$M$60</f>
        <v>-176</v>
      </c>
      <c r="N234" s="306">
        <f>-$N$60</f>
        <v>-168</v>
      </c>
      <c r="O234" s="306">
        <f>-$O$60</f>
        <v>-176</v>
      </c>
      <c r="P234" s="306">
        <f>-$P$60</f>
        <v>-184</v>
      </c>
      <c r="Q234" s="306">
        <f>-$Q$60</f>
        <v>-168</v>
      </c>
      <c r="R234" s="306">
        <f>-$R$60</f>
        <v>-176</v>
      </c>
      <c r="S234" s="306">
        <f>-$S$60</f>
        <v>-176</v>
      </c>
      <c r="T234" s="306">
        <f>-$T$60</f>
        <v>-168</v>
      </c>
      <c r="U234" s="306">
        <f>-$U$60</f>
        <v>-184</v>
      </c>
      <c r="V234" s="307">
        <f>SUM($J$61:$U$61)</f>
        <v>-2088</v>
      </c>
      <c r="W234" s="306"/>
      <c r="AA234" t="s">
        <v>509</v>
      </c>
    </row>
    <row r="235" spans="2:30" x14ac:dyDescent="0.2">
      <c r="E235" s="757" t="s">
        <v>560</v>
      </c>
      <c r="F235" s="761"/>
      <c r="G235" s="761"/>
      <c r="H235" s="762"/>
      <c r="I235" s="306">
        <f>IF(B_fldSaldoVJ&lt;=0,B_fldSaldoVJ,0)</f>
        <v>0</v>
      </c>
      <c r="J235" s="306">
        <f>$I$62+$J$61</f>
        <v>-176</v>
      </c>
      <c r="K235" s="306">
        <f>$J$62+$K$61</f>
        <v>-336</v>
      </c>
      <c r="L235" s="306">
        <f>$K$62+$L$61</f>
        <v>-512</v>
      </c>
      <c r="M235" s="306">
        <f>$L$62+$M$61</f>
        <v>-688</v>
      </c>
      <c r="N235" s="306">
        <f>$M$62+$N$61</f>
        <v>-856</v>
      </c>
      <c r="O235" s="306">
        <f>$N$62+$O$61</f>
        <v>-1032</v>
      </c>
      <c r="P235" s="306">
        <f>$O$62+$P$61</f>
        <v>-1216</v>
      </c>
      <c r="Q235" s="306">
        <f>$P$62+$Q$61</f>
        <v>-1384</v>
      </c>
      <c r="R235" s="306">
        <f>$Q$62+$R$61</f>
        <v>-1560</v>
      </c>
      <c r="S235" s="306">
        <f>$R$62+$S$61</f>
        <v>-1736</v>
      </c>
      <c r="T235" s="306">
        <f>$S$62+$T$61</f>
        <v>-1904</v>
      </c>
      <c r="U235" s="306">
        <f>$T$62+$U$61</f>
        <v>-2088</v>
      </c>
      <c r="V235" s="549">
        <f>$U$62</f>
        <v>-2088</v>
      </c>
      <c r="W235" s="306"/>
    </row>
  </sheetData>
  <sheetProtection algorithmName="SHA-512" hashValue="0iUaoyWrogo7oiDNRP7cofsOP9j5SkHydi8hB2UqXx9x06MIjMEyhP+kwBVNYYCa/PgsgTScp8+Fkwsh70icmQ==" saltValue="hyZ09MhVhg7/IyatFyDSpA==" spinCount="100000" sheet="1" objects="1" scenarios="1"/>
  <mergeCells count="121">
    <mergeCell ref="E232:H232"/>
    <mergeCell ref="E233:H233"/>
    <mergeCell ref="E234:H234"/>
    <mergeCell ref="E235:H235"/>
    <mergeCell ref="E29:H29"/>
    <mergeCell ref="E30:H30"/>
    <mergeCell ref="E31:H31"/>
    <mergeCell ref="E32:H32"/>
    <mergeCell ref="E33:H33"/>
    <mergeCell ref="E34:H34"/>
    <mergeCell ref="E35:H35"/>
    <mergeCell ref="B227:U227"/>
    <mergeCell ref="E230:H231"/>
    <mergeCell ref="E49:H49"/>
    <mergeCell ref="B54:U54"/>
    <mergeCell ref="E57:H58"/>
    <mergeCell ref="E59:H59"/>
    <mergeCell ref="E60:H60"/>
    <mergeCell ref="E46:H46"/>
    <mergeCell ref="E48:H48"/>
    <mergeCell ref="E50:H50"/>
    <mergeCell ref="E44:H45"/>
    <mergeCell ref="E47:H47"/>
    <mergeCell ref="B72:U72"/>
    <mergeCell ref="E25:H25"/>
    <mergeCell ref="E38:H38"/>
    <mergeCell ref="E27:H27"/>
    <mergeCell ref="E28:H28"/>
    <mergeCell ref="E37:H37"/>
    <mergeCell ref="B19:U19"/>
    <mergeCell ref="E22:H23"/>
    <mergeCell ref="E24:H24"/>
    <mergeCell ref="E26:H26"/>
    <mergeCell ref="E36:H36"/>
    <mergeCell ref="E77:H77"/>
    <mergeCell ref="E75:H76"/>
    <mergeCell ref="E78:H78"/>
    <mergeCell ref="E79:H79"/>
    <mergeCell ref="B41:U41"/>
    <mergeCell ref="B134:U134"/>
    <mergeCell ref="E160:H161"/>
    <mergeCell ref="E162:H162"/>
    <mergeCell ref="E163:H163"/>
    <mergeCell ref="E151:H151"/>
    <mergeCell ref="E152:H152"/>
    <mergeCell ref="E153:H153"/>
    <mergeCell ref="E139:H139"/>
    <mergeCell ref="E51:H51"/>
    <mergeCell ref="E121:H122"/>
    <mergeCell ref="E123:H123"/>
    <mergeCell ref="E124:H124"/>
    <mergeCell ref="E125:H125"/>
    <mergeCell ref="E128:H128"/>
    <mergeCell ref="B118:U118"/>
    <mergeCell ref="E83:H83"/>
    <mergeCell ref="E84:H84"/>
    <mergeCell ref="E206:H207"/>
    <mergeCell ref="E193:H193"/>
    <mergeCell ref="E199:H199"/>
    <mergeCell ref="E200:H200"/>
    <mergeCell ref="E165:H165"/>
    <mergeCell ref="E178:H179"/>
    <mergeCell ref="E180:H180"/>
    <mergeCell ref="E181:H181"/>
    <mergeCell ref="E182:H182"/>
    <mergeCell ref="E171:H172"/>
    <mergeCell ref="E173:H173"/>
    <mergeCell ref="E167:H167"/>
    <mergeCell ref="E174:H174"/>
    <mergeCell ref="E192:H192"/>
    <mergeCell ref="E194:H194"/>
    <mergeCell ref="E201:H201"/>
    <mergeCell ref="E195:H195"/>
    <mergeCell ref="E208:H208"/>
    <mergeCell ref="E209:H209"/>
    <mergeCell ref="E210:H210"/>
    <mergeCell ref="E202:H202"/>
    <mergeCell ref="E88:H89"/>
    <mergeCell ref="E61:H61"/>
    <mergeCell ref="E62:H62"/>
    <mergeCell ref="E93:H93"/>
    <mergeCell ref="E92:H92"/>
    <mergeCell ref="E137:H138"/>
    <mergeCell ref="E140:H140"/>
    <mergeCell ref="E141:H141"/>
    <mergeCell ref="E142:H142"/>
    <mergeCell ref="E143:H143"/>
    <mergeCell ref="E149:H149"/>
    <mergeCell ref="E150:H150"/>
    <mergeCell ref="E166:H166"/>
    <mergeCell ref="E183:H183"/>
    <mergeCell ref="E184:H184"/>
    <mergeCell ref="E196:H196"/>
    <mergeCell ref="E197:H197"/>
    <mergeCell ref="E198:H198"/>
    <mergeCell ref="E189:H190"/>
    <mergeCell ref="E191:H191"/>
    <mergeCell ref="B215:U215"/>
    <mergeCell ref="E218:H219"/>
    <mergeCell ref="E220:H220"/>
    <mergeCell ref="E221:H221"/>
    <mergeCell ref="E222:H222"/>
    <mergeCell ref="E80:H80"/>
    <mergeCell ref="E81:H81"/>
    <mergeCell ref="E82:H82"/>
    <mergeCell ref="E85:H85"/>
    <mergeCell ref="E94:H94"/>
    <mergeCell ref="E95:H95"/>
    <mergeCell ref="E96:H96"/>
    <mergeCell ref="E97:H97"/>
    <mergeCell ref="E98:H98"/>
    <mergeCell ref="E99:H99"/>
    <mergeCell ref="E126:H126"/>
    <mergeCell ref="E127:H127"/>
    <mergeCell ref="E129:H129"/>
    <mergeCell ref="E144:H144"/>
    <mergeCell ref="E145:H145"/>
    <mergeCell ref="E146:H146"/>
    <mergeCell ref="E147:H147"/>
    <mergeCell ref="E148:H148"/>
    <mergeCell ref="E164:H164"/>
  </mergeCells>
  <phoneticPr fontId="68" type="noConversion"/>
  <pageMargins left="0.7" right="0.7" top="0.78740157499999996" bottom="0.78740157499999996" header="0.3" footer="0.3"/>
  <ignoredErrors>
    <ignoredError sqref="V28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032EB-7654-42C7-82E5-939CA1231FA4}">
  <sheetPr codeName="sys4">
    <tabColor theme="0" tint="-4.9989318521683403E-2"/>
  </sheetPr>
  <dimension ref="C2:BL20"/>
  <sheetViews>
    <sheetView zoomScale="80" zoomScaleNormal="80" workbookViewId="0">
      <selection activeCell="S28" sqref="S28"/>
    </sheetView>
  </sheetViews>
  <sheetFormatPr baseColWidth="10" defaultColWidth="3.5703125" defaultRowHeight="12.75" x14ac:dyDescent="0.2"/>
  <cols>
    <col min="3" max="3" width="4" customWidth="1"/>
    <col min="4" max="4" width="5.7109375" customWidth="1"/>
    <col min="5" max="5" width="10.5703125" customWidth="1"/>
    <col min="6" max="6" width="8.42578125" bestFit="1" customWidth="1"/>
    <col min="7" max="7" width="5.5703125" customWidth="1"/>
    <col min="8" max="56" width="5.140625" customWidth="1"/>
    <col min="57" max="57" width="5.140625" style="309" customWidth="1"/>
    <col min="58" max="58" width="5.28515625" style="309" bestFit="1" customWidth="1"/>
    <col min="59" max="62" width="5.140625" style="309" customWidth="1"/>
    <col min="63" max="64" width="3.5703125" style="309"/>
  </cols>
  <sheetData>
    <row r="2" spans="3:62" s="240" customFormat="1" ht="32.1" customHeight="1" x14ac:dyDescent="0.2">
      <c r="C2" s="240" t="s">
        <v>231</v>
      </c>
      <c r="BE2" s="308"/>
      <c r="BF2" s="308"/>
      <c r="BG2" s="308"/>
      <c r="BH2" s="308"/>
      <c r="BI2" s="308"/>
      <c r="BJ2" s="308"/>
    </row>
    <row r="3" spans="3:62" ht="15.6" customHeight="1" x14ac:dyDescent="0.2"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</row>
    <row r="4" spans="3:62" x14ac:dyDescent="0.2"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</row>
    <row r="8" spans="3:62" ht="15.75" x14ac:dyDescent="0.2">
      <c r="C8" s="655" t="s">
        <v>232</v>
      </c>
      <c r="D8" s="655"/>
      <c r="E8" s="655"/>
      <c r="F8" s="655"/>
      <c r="G8" s="655"/>
      <c r="H8" s="655"/>
      <c r="I8" s="655"/>
      <c r="J8" s="655"/>
      <c r="K8" s="655"/>
      <c r="L8" s="655"/>
      <c r="M8" s="655"/>
      <c r="N8" s="655"/>
      <c r="O8" s="655"/>
      <c r="P8" s="655"/>
      <c r="Q8" s="655"/>
      <c r="R8" s="655"/>
      <c r="S8" s="655"/>
      <c r="T8" s="655"/>
      <c r="U8" s="655"/>
    </row>
    <row r="10" spans="3:62" x14ac:dyDescent="0.2">
      <c r="C10" s="803" t="s">
        <v>233</v>
      </c>
      <c r="D10" s="803"/>
      <c r="E10" s="803"/>
      <c r="F10" s="277">
        <v>1</v>
      </c>
      <c r="G10" s="277">
        <v>1</v>
      </c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7"/>
      <c r="W10" s="277"/>
      <c r="X10" s="277"/>
      <c r="Y10" s="277"/>
      <c r="Z10" s="277"/>
      <c r="AA10" s="277"/>
      <c r="AB10" s="277"/>
      <c r="AC10" s="277"/>
      <c r="AD10" s="277"/>
      <c r="AE10" s="277"/>
      <c r="AF10" s="277"/>
      <c r="AG10" s="277"/>
      <c r="AH10" s="277"/>
      <c r="AI10" s="277"/>
      <c r="AJ10" s="277"/>
      <c r="AK10" s="277"/>
      <c r="AL10" s="277"/>
      <c r="AM10" s="277"/>
      <c r="AN10" s="277"/>
      <c r="AO10" s="277"/>
      <c r="AP10" s="277"/>
      <c r="AQ10" s="277"/>
      <c r="AR10" s="277"/>
      <c r="AS10" s="277"/>
      <c r="AT10" s="277"/>
      <c r="AU10" s="277"/>
      <c r="AV10" s="277"/>
      <c r="AW10" s="277"/>
      <c r="AX10" s="277"/>
      <c r="AY10" s="277"/>
      <c r="AZ10" s="277"/>
      <c r="BA10" s="277"/>
      <c r="BB10" s="277"/>
      <c r="BC10" s="277"/>
      <c r="BD10" s="277"/>
      <c r="BE10" s="277"/>
      <c r="BF10" s="277"/>
      <c r="BG10" s="310">
        <v>12</v>
      </c>
      <c r="BH10" s="310">
        <v>12</v>
      </c>
      <c r="BI10" s="799"/>
      <c r="BJ10" s="799"/>
    </row>
    <row r="11" spans="3:62" s="38" customFormat="1" x14ac:dyDescent="0.2">
      <c r="C11" s="802" t="s">
        <v>234</v>
      </c>
      <c r="D11" s="802"/>
      <c r="E11" s="802"/>
      <c r="F11" s="278">
        <v>53</v>
      </c>
      <c r="G11" s="278">
        <v>1</v>
      </c>
      <c r="H11" s="278">
        <v>2</v>
      </c>
      <c r="I11" s="278">
        <v>3</v>
      </c>
      <c r="J11" s="278">
        <v>4</v>
      </c>
      <c r="K11" s="278">
        <v>5</v>
      </c>
      <c r="L11" s="278">
        <v>6</v>
      </c>
      <c r="M11" s="278">
        <v>7</v>
      </c>
      <c r="N11" s="278">
        <v>8</v>
      </c>
      <c r="O11" s="278">
        <v>9</v>
      </c>
      <c r="P11" s="278">
        <v>10</v>
      </c>
      <c r="Q11" s="278">
        <v>11</v>
      </c>
      <c r="R11" s="278">
        <v>12</v>
      </c>
      <c r="S11" s="278">
        <v>13</v>
      </c>
      <c r="T11" s="278">
        <v>14</v>
      </c>
      <c r="U11" s="278">
        <v>15</v>
      </c>
      <c r="V11" s="278">
        <v>16</v>
      </c>
      <c r="W11" s="278">
        <v>17</v>
      </c>
      <c r="X11" s="278">
        <v>18</v>
      </c>
      <c r="Y11" s="278">
        <v>19</v>
      </c>
      <c r="Z11" s="278">
        <v>20</v>
      </c>
      <c r="AA11" s="278">
        <v>21</v>
      </c>
      <c r="AB11" s="278">
        <v>22</v>
      </c>
      <c r="AC11" s="278">
        <v>23</v>
      </c>
      <c r="AD11" s="278">
        <v>24</v>
      </c>
      <c r="AE11" s="278">
        <v>25</v>
      </c>
      <c r="AF11" s="278">
        <v>26</v>
      </c>
      <c r="AG11" s="278">
        <v>27</v>
      </c>
      <c r="AH11" s="278">
        <v>28</v>
      </c>
      <c r="AI11" s="278">
        <v>29</v>
      </c>
      <c r="AJ11" s="278">
        <v>30</v>
      </c>
      <c r="AK11" s="278">
        <v>31</v>
      </c>
      <c r="AL11" s="278">
        <v>32</v>
      </c>
      <c r="AM11" s="278">
        <v>33</v>
      </c>
      <c r="AN11" s="278">
        <v>34</v>
      </c>
      <c r="AO11" s="278">
        <v>35</v>
      </c>
      <c r="AP11" s="278">
        <v>36</v>
      </c>
      <c r="AQ11" s="278">
        <v>37</v>
      </c>
      <c r="AR11" s="278">
        <v>38</v>
      </c>
      <c r="AS11" s="278">
        <v>39</v>
      </c>
      <c r="AT11" s="278">
        <v>40</v>
      </c>
      <c r="AU11" s="278">
        <v>41</v>
      </c>
      <c r="AV11" s="278">
        <v>42</v>
      </c>
      <c r="AW11" s="278">
        <v>43</v>
      </c>
      <c r="AX11" s="278">
        <v>44</v>
      </c>
      <c r="AY11" s="278">
        <v>45</v>
      </c>
      <c r="AZ11" s="278">
        <v>46</v>
      </c>
      <c r="BA11" s="278">
        <v>47</v>
      </c>
      <c r="BB11" s="278">
        <v>48</v>
      </c>
      <c r="BC11" s="278">
        <v>49</v>
      </c>
      <c r="BD11" s="278">
        <v>50</v>
      </c>
      <c r="BE11" s="278">
        <v>51</v>
      </c>
      <c r="BF11" s="278">
        <v>52</v>
      </c>
      <c r="BG11" s="278">
        <v>53</v>
      </c>
      <c r="BH11" s="278">
        <v>1</v>
      </c>
      <c r="BI11" s="800" t="s">
        <v>152</v>
      </c>
      <c r="BJ11" s="800"/>
    </row>
    <row r="12" spans="3:62" s="230" customFormat="1" ht="15.95" customHeight="1" x14ac:dyDescent="0.2">
      <c r="C12" s="797" t="s">
        <v>235</v>
      </c>
      <c r="D12" s="797"/>
      <c r="E12" s="797"/>
      <c r="F12" s="279" cm="1">
        <f t="array" ref="F12">SUMPRODUCT((H_dMnt=F$10)*(H_dKW=F$11)*H_dSoll100)</f>
        <v>0</v>
      </c>
      <c r="G12" s="279" cm="1">
        <f t="array" ref="G12">SUMPRODUCT((H_dMnt=G$10)*(H_dKW=G$11)*H_dSoll100)</f>
        <v>16</v>
      </c>
      <c r="H12" s="279">
        <f>SUMIF(H_dKW,H_KW!H$11,H_dSoll100)</f>
        <v>40</v>
      </c>
      <c r="I12" s="279">
        <f>SUMIF(H_dKW,H_KW!I$11,H_dSoll100)</f>
        <v>40</v>
      </c>
      <c r="J12" s="279">
        <f>SUMIF(H_dKW,H_KW!J$11,H_dSoll100)</f>
        <v>40</v>
      </c>
      <c r="K12" s="279">
        <f>SUMIF(H_dKW,H_KW!K$11,H_dSoll100)</f>
        <v>40</v>
      </c>
      <c r="L12" s="279">
        <f>SUMIF(H_dKW,H_KW!L$11,H_dSoll100)</f>
        <v>40</v>
      </c>
      <c r="M12" s="279">
        <f>SUMIF(H_dKW,H_KW!M$11,H_dSoll100)</f>
        <v>40</v>
      </c>
      <c r="N12" s="279">
        <f>SUMIF(H_dKW,H_KW!N$11,H_dSoll100)</f>
        <v>40</v>
      </c>
      <c r="O12" s="279">
        <f>SUMIF(H_dKW,H_KW!O$11,H_dSoll100)</f>
        <v>40</v>
      </c>
      <c r="P12" s="279">
        <f>SUMIF(H_dKW,H_KW!P$11,H_dSoll100)</f>
        <v>40</v>
      </c>
      <c r="Q12" s="279">
        <f>SUMIF(H_dKW,H_KW!Q$11,H_dSoll100)</f>
        <v>40</v>
      </c>
      <c r="R12" s="279">
        <f>SUMIF(H_dKW,H_KW!R$11,H_dSoll100)</f>
        <v>40</v>
      </c>
      <c r="S12" s="279">
        <f>SUMIF(H_dKW,H_KW!S$11,H_dSoll100)</f>
        <v>40</v>
      </c>
      <c r="T12" s="279">
        <f>SUMIF(H_dKW,H_KW!T$11,H_dSoll100)</f>
        <v>40</v>
      </c>
      <c r="U12" s="279">
        <f>SUMIF(H_dKW,H_KW!U$11,H_dSoll100)</f>
        <v>40</v>
      </c>
      <c r="V12" s="279">
        <f>SUMIF(H_dKW,H_KW!V$11,H_dSoll100)</f>
        <v>40</v>
      </c>
      <c r="W12" s="279">
        <f>SUMIF(H_dKW,H_KW!W$11,H_dSoll100)</f>
        <v>40</v>
      </c>
      <c r="X12" s="279">
        <f>SUMIF(H_dKW,H_KW!X$11,H_dSoll100)</f>
        <v>40</v>
      </c>
      <c r="Y12" s="279">
        <f>SUMIF(H_dKW,H_KW!Y$11,H_dSoll100)</f>
        <v>40</v>
      </c>
      <c r="Z12" s="279">
        <f>SUMIF(H_dKW,H_KW!Z$11,H_dSoll100)</f>
        <v>40</v>
      </c>
      <c r="AA12" s="279">
        <f>SUMIF(H_dKW,H_KW!AA$11,H_dSoll100)</f>
        <v>40</v>
      </c>
      <c r="AB12" s="279">
        <f>SUMIF(H_dKW,H_KW!AB$11,H_dSoll100)</f>
        <v>40</v>
      </c>
      <c r="AC12" s="279">
        <f>SUMIF(H_dKW,H_KW!AC$11,H_dSoll100)</f>
        <v>40</v>
      </c>
      <c r="AD12" s="279">
        <f>SUMIF(H_dKW,H_KW!AD$11,H_dSoll100)</f>
        <v>40</v>
      </c>
      <c r="AE12" s="279">
        <f>SUMIF(H_dKW,H_KW!AE$11,H_dSoll100)</f>
        <v>40</v>
      </c>
      <c r="AF12" s="279">
        <f>SUMIF(H_dKW,H_KW!AF$11,H_dSoll100)</f>
        <v>40</v>
      </c>
      <c r="AG12" s="279">
        <f>SUMIF(H_dKW,H_KW!AG$11,H_dSoll100)</f>
        <v>40</v>
      </c>
      <c r="AH12" s="279">
        <f>SUMIF(H_dKW,H_KW!AH$11,H_dSoll100)</f>
        <v>40</v>
      </c>
      <c r="AI12" s="279">
        <f>SUMIF(H_dKW,H_KW!AI$11,H_dSoll100)</f>
        <v>40</v>
      </c>
      <c r="AJ12" s="279">
        <f>SUMIF(H_dKW,H_KW!AJ$11,H_dSoll100)</f>
        <v>40</v>
      </c>
      <c r="AK12" s="279">
        <f>SUMIF(H_dKW,H_KW!AK$11,H_dSoll100)</f>
        <v>40</v>
      </c>
      <c r="AL12" s="279">
        <f>SUMIF(H_dKW,H_KW!AL$11,H_dSoll100)</f>
        <v>40</v>
      </c>
      <c r="AM12" s="279">
        <f>SUMIF(H_dKW,H_KW!AM$11,H_dSoll100)</f>
        <v>40</v>
      </c>
      <c r="AN12" s="279">
        <f>SUMIF(H_dKW,H_KW!AN$11,H_dSoll100)</f>
        <v>40</v>
      </c>
      <c r="AO12" s="279">
        <f>SUMIF(H_dKW,H_KW!AO$11,H_dSoll100)</f>
        <v>40</v>
      </c>
      <c r="AP12" s="279">
        <f>SUMIF(H_dKW,H_KW!AP$11,H_dSoll100)</f>
        <v>40</v>
      </c>
      <c r="AQ12" s="279">
        <f>SUMIF(H_dKW,H_KW!AQ$11,H_dSoll100)</f>
        <v>40</v>
      </c>
      <c r="AR12" s="279">
        <f>SUMIF(H_dKW,H_KW!AR$11,H_dSoll100)</f>
        <v>40</v>
      </c>
      <c r="AS12" s="279">
        <f>SUMIF(H_dKW,H_KW!AS$11,H_dSoll100)</f>
        <v>40</v>
      </c>
      <c r="AT12" s="279">
        <f>SUMIF(H_dKW,H_KW!AT$11,H_dSoll100)</f>
        <v>40</v>
      </c>
      <c r="AU12" s="279">
        <f>SUMIF(H_dKW,H_KW!AU$11,H_dSoll100)</f>
        <v>40</v>
      </c>
      <c r="AV12" s="279">
        <f>SUMIF(H_dKW,H_KW!AV$11,H_dSoll100)</f>
        <v>40</v>
      </c>
      <c r="AW12" s="279">
        <f>SUMIF(H_dKW,H_KW!AW$11,H_dSoll100)</f>
        <v>40</v>
      </c>
      <c r="AX12" s="279">
        <f>SUMIF(H_dKW,H_KW!AX$11,H_dSoll100)</f>
        <v>40</v>
      </c>
      <c r="AY12" s="279">
        <f>SUMIF(H_dKW,H_KW!AY$11,H_dSoll100)</f>
        <v>40</v>
      </c>
      <c r="AZ12" s="279">
        <f>SUMIF(H_dKW,H_KW!AZ$11,H_dSoll100)</f>
        <v>40</v>
      </c>
      <c r="BA12" s="279">
        <f>SUMIF(H_dKW,H_KW!BA$11,H_dSoll100)</f>
        <v>40</v>
      </c>
      <c r="BB12" s="279">
        <f>SUMIF(H_dKW,H_KW!BB$11,H_dSoll100)</f>
        <v>40</v>
      </c>
      <c r="BC12" s="279">
        <f>SUMIF(H_dKW,H_KW!BC$11,H_dSoll100)</f>
        <v>40</v>
      </c>
      <c r="BD12" s="279">
        <f>SUMIF(H_dKW,H_KW!BD$11,H_dSoll100)</f>
        <v>40</v>
      </c>
      <c r="BE12" s="279">
        <f>SUMIF(H_dKW,H_KW!BE$11,H_dSoll100)</f>
        <v>40</v>
      </c>
      <c r="BF12" s="279">
        <f>SUMIF(H_dKW,H_KW!BF$11,H_dSoll100)</f>
        <v>40</v>
      </c>
      <c r="BG12" s="279" cm="1">
        <f t="array" ref="BG12">SUMPRODUCT((H_dMnt=BG$10)*(H_dKW=BG$11)*H_dSoll100)</f>
        <v>32</v>
      </c>
      <c r="BH12" s="279" cm="1">
        <f t="array" ref="BH12">SUMPRODUCT((H_dMnt=BH$10)*(H_dKW=BH$11)*H_dSoll100)</f>
        <v>0</v>
      </c>
      <c r="BI12" s="801">
        <f>SUM(F12:BH12)</f>
        <v>2088</v>
      </c>
      <c r="BJ12" s="801"/>
    </row>
    <row r="13" spans="3:62" s="230" customFormat="1" ht="15.95" customHeight="1" x14ac:dyDescent="0.2">
      <c r="C13" s="797" t="s">
        <v>236</v>
      </c>
      <c r="D13" s="797"/>
      <c r="E13" s="797"/>
      <c r="F13" s="279" cm="1">
        <f t="array" ref="F13">SUMPRODUCT((H_dMnt=F$10)*(H_dKW=F$11)*H_dSollBG)</f>
        <v>0</v>
      </c>
      <c r="G13" s="279" cm="1">
        <f t="array" ref="G13">SUMPRODUCT((H_dMnt=G$10)*(H_dKW=G$11)*H_dSollBG)</f>
        <v>16</v>
      </c>
      <c r="H13" s="279">
        <f>SUMIF(H_dKW,H_KW!H$11,H_dSollBG)</f>
        <v>40</v>
      </c>
      <c r="I13" s="279">
        <f>SUMIF(H_dKW,H_KW!I$11,H_dSollBG)</f>
        <v>40</v>
      </c>
      <c r="J13" s="279">
        <f>SUMIF(H_dKW,H_KW!J$11,H_dSollBG)</f>
        <v>40</v>
      </c>
      <c r="K13" s="279">
        <f>SUMIF(H_dKW,H_KW!K$11,H_dSollBG)</f>
        <v>40</v>
      </c>
      <c r="L13" s="279">
        <f>SUMIF(H_dKW,H_KW!L$11,H_dSollBG)</f>
        <v>40</v>
      </c>
      <c r="M13" s="279">
        <f>SUMIF(H_dKW,H_KW!M$11,H_dSollBG)</f>
        <v>40</v>
      </c>
      <c r="N13" s="279">
        <f>SUMIF(H_dKW,H_KW!N$11,H_dSollBG)</f>
        <v>40</v>
      </c>
      <c r="O13" s="279">
        <f>SUMIF(H_dKW,H_KW!O$11,H_dSollBG)</f>
        <v>40</v>
      </c>
      <c r="P13" s="279">
        <f>SUMIF(H_dKW,H_KW!P$11,H_dSollBG)</f>
        <v>40</v>
      </c>
      <c r="Q13" s="279">
        <f>SUMIF(H_dKW,H_KW!Q$11,H_dSollBG)</f>
        <v>40</v>
      </c>
      <c r="R13" s="279">
        <f>SUMIF(H_dKW,H_KW!R$11,H_dSollBG)</f>
        <v>40</v>
      </c>
      <c r="S13" s="279">
        <f>SUMIF(H_dKW,H_KW!S$11,H_dSollBG)</f>
        <v>40</v>
      </c>
      <c r="T13" s="279">
        <f>SUMIF(H_dKW,H_KW!T$11,H_dSollBG)</f>
        <v>40</v>
      </c>
      <c r="U13" s="279">
        <f>SUMIF(H_dKW,H_KW!U$11,H_dSollBG)</f>
        <v>40</v>
      </c>
      <c r="V13" s="279">
        <f>SUMIF(H_dKW,H_KW!V$11,H_dSollBG)</f>
        <v>40</v>
      </c>
      <c r="W13" s="279">
        <f>SUMIF(H_dKW,H_KW!W$11,H_dSollBG)</f>
        <v>40</v>
      </c>
      <c r="X13" s="279">
        <f>SUMIF(H_dKW,H_KW!X$11,H_dSollBG)</f>
        <v>40</v>
      </c>
      <c r="Y13" s="279">
        <f>SUMIF(H_dKW,H_KW!Y$11,H_dSollBG)</f>
        <v>40</v>
      </c>
      <c r="Z13" s="279">
        <f>SUMIF(H_dKW,H_KW!Z$11,H_dSollBG)</f>
        <v>40</v>
      </c>
      <c r="AA13" s="279">
        <f>SUMIF(H_dKW,H_KW!AA$11,H_dSollBG)</f>
        <v>40</v>
      </c>
      <c r="AB13" s="279">
        <f>SUMIF(H_dKW,H_KW!AB$11,H_dSollBG)</f>
        <v>40</v>
      </c>
      <c r="AC13" s="279">
        <f>SUMIF(H_dKW,H_KW!AC$11,H_dSollBG)</f>
        <v>40</v>
      </c>
      <c r="AD13" s="279">
        <f>SUMIF(H_dKW,H_KW!AD$11,H_dSollBG)</f>
        <v>40</v>
      </c>
      <c r="AE13" s="279">
        <f>SUMIF(H_dKW,H_KW!AE$11,H_dSollBG)</f>
        <v>40</v>
      </c>
      <c r="AF13" s="279">
        <f>SUMIF(H_dKW,H_KW!AF$11,H_dSollBG)</f>
        <v>40</v>
      </c>
      <c r="AG13" s="279">
        <f>SUMIF(H_dKW,H_KW!AG$11,H_dSollBG)</f>
        <v>40</v>
      </c>
      <c r="AH13" s="279">
        <f>SUMIF(H_dKW,H_KW!AH$11,H_dSollBG)</f>
        <v>40</v>
      </c>
      <c r="AI13" s="279">
        <f>SUMIF(H_dKW,H_KW!AI$11,H_dSollBG)</f>
        <v>40</v>
      </c>
      <c r="AJ13" s="279">
        <f>SUMIF(H_dKW,H_KW!AJ$11,H_dSollBG)</f>
        <v>40</v>
      </c>
      <c r="AK13" s="279">
        <f>SUMIF(H_dKW,H_KW!AK$11,H_dSollBG)</f>
        <v>40</v>
      </c>
      <c r="AL13" s="279">
        <f>SUMIF(H_dKW,H_KW!AL$11,H_dSollBG)</f>
        <v>40</v>
      </c>
      <c r="AM13" s="279">
        <f>SUMIF(H_dKW,H_KW!AM$11,H_dSollBG)</f>
        <v>40</v>
      </c>
      <c r="AN13" s="279">
        <f>SUMIF(H_dKW,H_KW!AN$11,H_dSollBG)</f>
        <v>40</v>
      </c>
      <c r="AO13" s="279">
        <f>SUMIF(H_dKW,H_KW!AO$11,H_dSollBG)</f>
        <v>40</v>
      </c>
      <c r="AP13" s="279">
        <f>SUMIF(H_dKW,H_KW!AP$11,H_dSollBG)</f>
        <v>40</v>
      </c>
      <c r="AQ13" s="279">
        <f>SUMIF(H_dKW,H_KW!AQ$11,H_dSollBG)</f>
        <v>40</v>
      </c>
      <c r="AR13" s="279">
        <f>SUMIF(H_dKW,H_KW!AR$11,H_dSollBG)</f>
        <v>40</v>
      </c>
      <c r="AS13" s="279">
        <f>SUMIF(H_dKW,H_KW!AS$11,H_dSollBG)</f>
        <v>40</v>
      </c>
      <c r="AT13" s="279">
        <f>SUMIF(H_dKW,H_KW!AT$11,H_dSollBG)</f>
        <v>40</v>
      </c>
      <c r="AU13" s="279">
        <f>SUMIF(H_dKW,H_KW!AU$11,H_dSollBG)</f>
        <v>40</v>
      </c>
      <c r="AV13" s="279">
        <f>SUMIF(H_dKW,H_KW!AV$11,H_dSollBG)</f>
        <v>40</v>
      </c>
      <c r="AW13" s="279">
        <f>SUMIF(H_dKW,H_KW!AW$11,H_dSollBG)</f>
        <v>40</v>
      </c>
      <c r="AX13" s="279">
        <f>SUMIF(H_dKW,H_KW!AX$11,H_dSollBG)</f>
        <v>40</v>
      </c>
      <c r="AY13" s="279">
        <f>SUMIF(H_dKW,H_KW!AY$11,H_dSollBG)</f>
        <v>40</v>
      </c>
      <c r="AZ13" s="279">
        <f>SUMIF(H_dKW,H_KW!AZ$11,H_dSollBG)</f>
        <v>40</v>
      </c>
      <c r="BA13" s="279">
        <f>SUMIF(H_dKW,H_KW!BA$11,H_dSollBG)</f>
        <v>40</v>
      </c>
      <c r="BB13" s="279">
        <f>SUMIF(H_dKW,H_KW!BB$11,H_dSollBG)</f>
        <v>40</v>
      </c>
      <c r="BC13" s="279">
        <f>SUMIF(H_dKW,H_KW!BC$11,H_dSollBG)</f>
        <v>40</v>
      </c>
      <c r="BD13" s="279">
        <f>SUMIF(H_dKW,H_KW!BD$11,H_dSollBG)</f>
        <v>40</v>
      </c>
      <c r="BE13" s="279">
        <f>SUMIF(H_dKW,H_KW!BE$11,H_dSollBG)</f>
        <v>40</v>
      </c>
      <c r="BF13" s="279">
        <f>SUMIF(H_dKW,H_KW!BF$11,H_dSollBG)</f>
        <v>40</v>
      </c>
      <c r="BG13" s="279" cm="1">
        <f t="array" ref="BG13">SUMPRODUCT((H_dMnt=BG$10)*(H_dKW=BG$11)*H_dSollBG)</f>
        <v>32</v>
      </c>
      <c r="BH13" s="279" cm="1">
        <f t="array" ref="BH13">SUMPRODUCT((H_dMnt=BH$10)*(H_dKW=BH$11)*H_dSollBG)</f>
        <v>0</v>
      </c>
      <c r="BI13" s="801">
        <f t="shared" ref="BI13:BI18" si="0">SUM(F13:BH13)</f>
        <v>2088</v>
      </c>
      <c r="BJ13" s="801"/>
    </row>
    <row r="14" spans="3:62" s="231" customFormat="1" ht="15.95" customHeight="1" x14ac:dyDescent="0.2">
      <c r="C14" s="797" t="s">
        <v>237</v>
      </c>
      <c r="D14" s="797"/>
      <c r="E14" s="797"/>
      <c r="F14" s="279"/>
      <c r="G14" s="279"/>
      <c r="H14" s="279"/>
      <c r="I14" s="279"/>
      <c r="J14" s="279"/>
      <c r="K14" s="279"/>
      <c r="L14" s="279"/>
      <c r="M14" s="279"/>
      <c r="N14" s="279"/>
      <c r="O14" s="279"/>
      <c r="P14" s="279"/>
      <c r="Q14" s="279"/>
      <c r="R14" s="279"/>
      <c r="S14" s="279"/>
      <c r="T14" s="279"/>
      <c r="U14" s="279"/>
      <c r="V14" s="279"/>
      <c r="W14" s="279"/>
      <c r="X14" s="279"/>
      <c r="Y14" s="279"/>
      <c r="Z14" s="279"/>
      <c r="AA14" s="279"/>
      <c r="AB14" s="279"/>
      <c r="AC14" s="279"/>
      <c r="AD14" s="279"/>
      <c r="AE14" s="279"/>
      <c r="AF14" s="279"/>
      <c r="AG14" s="279"/>
      <c r="AH14" s="279"/>
      <c r="AI14" s="279"/>
      <c r="AJ14" s="279"/>
      <c r="AK14" s="279"/>
      <c r="AL14" s="279"/>
      <c r="AM14" s="279"/>
      <c r="AN14" s="279"/>
      <c r="AO14" s="279"/>
      <c r="AP14" s="279"/>
      <c r="AQ14" s="279"/>
      <c r="AR14" s="279"/>
      <c r="AS14" s="279"/>
      <c r="AT14" s="279"/>
      <c r="AU14" s="279"/>
      <c r="AV14" s="279"/>
      <c r="AW14" s="279"/>
      <c r="AX14" s="279"/>
      <c r="AY14" s="279"/>
      <c r="AZ14" s="279"/>
      <c r="BA14" s="279"/>
      <c r="BB14" s="279"/>
      <c r="BC14" s="279"/>
      <c r="BD14" s="279"/>
      <c r="BE14" s="279"/>
      <c r="BF14" s="279"/>
      <c r="BG14" s="279"/>
      <c r="BH14" s="279"/>
      <c r="BI14" s="798">
        <f t="shared" si="0"/>
        <v>0</v>
      </c>
      <c r="BJ14" s="798"/>
    </row>
    <row r="15" spans="3:62" s="231" customFormat="1" ht="15.95" customHeight="1" x14ac:dyDescent="0.2">
      <c r="C15" s="797" t="s">
        <v>157</v>
      </c>
      <c r="D15" s="797"/>
      <c r="E15" s="797"/>
      <c r="F15" s="279"/>
      <c r="G15" s="279"/>
      <c r="H15" s="279"/>
      <c r="I15" s="279"/>
      <c r="J15" s="279"/>
      <c r="K15" s="279"/>
      <c r="L15" s="279"/>
      <c r="M15" s="279"/>
      <c r="N15" s="279"/>
      <c r="O15" s="279"/>
      <c r="P15" s="279"/>
      <c r="Q15" s="279"/>
      <c r="R15" s="279"/>
      <c r="S15" s="279"/>
      <c r="T15" s="279"/>
      <c r="U15" s="279"/>
      <c r="V15" s="279"/>
      <c r="W15" s="279"/>
      <c r="X15" s="279"/>
      <c r="Y15" s="279"/>
      <c r="Z15" s="279"/>
      <c r="AA15" s="279"/>
      <c r="AB15" s="279"/>
      <c r="AC15" s="279"/>
      <c r="AD15" s="279"/>
      <c r="AE15" s="279"/>
      <c r="AF15" s="279"/>
      <c r="AG15" s="279"/>
      <c r="AH15" s="279"/>
      <c r="AI15" s="279"/>
      <c r="AJ15" s="279"/>
      <c r="AK15" s="279"/>
      <c r="AL15" s="279"/>
      <c r="AM15" s="279"/>
      <c r="AN15" s="279"/>
      <c r="AO15" s="279"/>
      <c r="AP15" s="279"/>
      <c r="AQ15" s="279"/>
      <c r="AR15" s="279"/>
      <c r="AS15" s="279"/>
      <c r="AT15" s="279"/>
      <c r="AU15" s="279"/>
      <c r="AV15" s="279"/>
      <c r="AW15" s="279"/>
      <c r="AX15" s="279"/>
      <c r="AY15" s="279"/>
      <c r="AZ15" s="279"/>
      <c r="BA15" s="279"/>
      <c r="BB15" s="279"/>
      <c r="BC15" s="279"/>
      <c r="BD15" s="279"/>
      <c r="BE15" s="279"/>
      <c r="BF15" s="279"/>
      <c r="BG15" s="279"/>
      <c r="BH15" s="279"/>
      <c r="BI15" s="798">
        <f t="shared" si="0"/>
        <v>0</v>
      </c>
      <c r="BJ15" s="798"/>
    </row>
    <row r="16" spans="3:62" s="231" customFormat="1" ht="15.95" customHeight="1" x14ac:dyDescent="0.2">
      <c r="C16" s="797" t="s">
        <v>238</v>
      </c>
      <c r="D16" s="797"/>
      <c r="E16" s="797"/>
      <c r="F16" s="279">
        <f>SUM(F14:F15)</f>
        <v>0</v>
      </c>
      <c r="G16" s="279">
        <f t="shared" ref="G16:BH16" si="1">SUM(G14:G15)</f>
        <v>0</v>
      </c>
      <c r="H16" s="279">
        <f t="shared" si="1"/>
        <v>0</v>
      </c>
      <c r="I16" s="279">
        <f t="shared" si="1"/>
        <v>0</v>
      </c>
      <c r="J16" s="279">
        <f t="shared" si="1"/>
        <v>0</v>
      </c>
      <c r="K16" s="279">
        <f t="shared" si="1"/>
        <v>0</v>
      </c>
      <c r="L16" s="279">
        <f t="shared" si="1"/>
        <v>0</v>
      </c>
      <c r="M16" s="279">
        <f t="shared" si="1"/>
        <v>0</v>
      </c>
      <c r="N16" s="279">
        <f t="shared" si="1"/>
        <v>0</v>
      </c>
      <c r="O16" s="279">
        <f t="shared" si="1"/>
        <v>0</v>
      </c>
      <c r="P16" s="279">
        <f t="shared" si="1"/>
        <v>0</v>
      </c>
      <c r="Q16" s="279">
        <f t="shared" si="1"/>
        <v>0</v>
      </c>
      <c r="R16" s="279">
        <f t="shared" si="1"/>
        <v>0</v>
      </c>
      <c r="S16" s="279">
        <f t="shared" si="1"/>
        <v>0</v>
      </c>
      <c r="T16" s="279">
        <f t="shared" si="1"/>
        <v>0</v>
      </c>
      <c r="U16" s="279">
        <f t="shared" si="1"/>
        <v>0</v>
      </c>
      <c r="V16" s="279">
        <f t="shared" si="1"/>
        <v>0</v>
      </c>
      <c r="W16" s="279">
        <f t="shared" si="1"/>
        <v>0</v>
      </c>
      <c r="X16" s="279">
        <f t="shared" si="1"/>
        <v>0</v>
      </c>
      <c r="Y16" s="279">
        <f t="shared" si="1"/>
        <v>0</v>
      </c>
      <c r="Z16" s="279">
        <f t="shared" si="1"/>
        <v>0</v>
      </c>
      <c r="AA16" s="279">
        <f t="shared" si="1"/>
        <v>0</v>
      </c>
      <c r="AB16" s="279">
        <f t="shared" si="1"/>
        <v>0</v>
      </c>
      <c r="AC16" s="279">
        <f t="shared" si="1"/>
        <v>0</v>
      </c>
      <c r="AD16" s="279">
        <f t="shared" si="1"/>
        <v>0</v>
      </c>
      <c r="AE16" s="279">
        <f t="shared" si="1"/>
        <v>0</v>
      </c>
      <c r="AF16" s="279">
        <f t="shared" si="1"/>
        <v>0</v>
      </c>
      <c r="AG16" s="279">
        <f t="shared" si="1"/>
        <v>0</v>
      </c>
      <c r="AH16" s="279">
        <f t="shared" si="1"/>
        <v>0</v>
      </c>
      <c r="AI16" s="279">
        <f t="shared" si="1"/>
        <v>0</v>
      </c>
      <c r="AJ16" s="279">
        <f t="shared" si="1"/>
        <v>0</v>
      </c>
      <c r="AK16" s="279">
        <f t="shared" si="1"/>
        <v>0</v>
      </c>
      <c r="AL16" s="279">
        <f t="shared" si="1"/>
        <v>0</v>
      </c>
      <c r="AM16" s="279">
        <f t="shared" si="1"/>
        <v>0</v>
      </c>
      <c r="AN16" s="279">
        <f t="shared" si="1"/>
        <v>0</v>
      </c>
      <c r="AO16" s="279">
        <f t="shared" si="1"/>
        <v>0</v>
      </c>
      <c r="AP16" s="279">
        <f t="shared" si="1"/>
        <v>0</v>
      </c>
      <c r="AQ16" s="279">
        <f t="shared" si="1"/>
        <v>0</v>
      </c>
      <c r="AR16" s="279">
        <f t="shared" si="1"/>
        <v>0</v>
      </c>
      <c r="AS16" s="279">
        <f t="shared" si="1"/>
        <v>0</v>
      </c>
      <c r="AT16" s="279">
        <f t="shared" si="1"/>
        <v>0</v>
      </c>
      <c r="AU16" s="279">
        <f t="shared" si="1"/>
        <v>0</v>
      </c>
      <c r="AV16" s="279">
        <f t="shared" si="1"/>
        <v>0</v>
      </c>
      <c r="AW16" s="279">
        <f t="shared" si="1"/>
        <v>0</v>
      </c>
      <c r="AX16" s="279">
        <f t="shared" si="1"/>
        <v>0</v>
      </c>
      <c r="AY16" s="279">
        <f t="shared" si="1"/>
        <v>0</v>
      </c>
      <c r="AZ16" s="279">
        <f t="shared" si="1"/>
        <v>0</v>
      </c>
      <c r="BA16" s="279">
        <f t="shared" si="1"/>
        <v>0</v>
      </c>
      <c r="BB16" s="279">
        <f t="shared" si="1"/>
        <v>0</v>
      </c>
      <c r="BC16" s="279">
        <f t="shared" si="1"/>
        <v>0</v>
      </c>
      <c r="BD16" s="279">
        <f t="shared" si="1"/>
        <v>0</v>
      </c>
      <c r="BE16" s="279">
        <f t="shared" si="1"/>
        <v>0</v>
      </c>
      <c r="BF16" s="279">
        <f t="shared" si="1"/>
        <v>0</v>
      </c>
      <c r="BG16" s="279">
        <f t="shared" si="1"/>
        <v>0</v>
      </c>
      <c r="BH16" s="279">
        <f t="shared" si="1"/>
        <v>0</v>
      </c>
      <c r="BI16" s="798">
        <f t="shared" si="0"/>
        <v>0</v>
      </c>
      <c r="BJ16" s="798"/>
    </row>
    <row r="17" spans="3:62" ht="15.95" customHeight="1" x14ac:dyDescent="0.2">
      <c r="C17" s="797" t="s">
        <v>239</v>
      </c>
      <c r="D17" s="797"/>
      <c r="E17" s="797"/>
      <c r="F17" s="279"/>
      <c r="G17" s="279"/>
      <c r="H17" s="279"/>
      <c r="I17" s="279"/>
      <c r="J17" s="279"/>
      <c r="K17" s="279"/>
      <c r="L17" s="279"/>
      <c r="M17" s="279"/>
      <c r="N17" s="279"/>
      <c r="O17" s="279"/>
      <c r="P17" s="279"/>
      <c r="Q17" s="279"/>
      <c r="R17" s="279"/>
      <c r="S17" s="279"/>
      <c r="T17" s="279"/>
      <c r="U17" s="279"/>
      <c r="V17" s="279"/>
      <c r="W17" s="279"/>
      <c r="X17" s="279"/>
      <c r="Y17" s="279"/>
      <c r="Z17" s="279"/>
      <c r="AA17" s="279"/>
      <c r="AB17" s="279"/>
      <c r="AC17" s="279"/>
      <c r="AD17" s="279"/>
      <c r="AE17" s="279"/>
      <c r="AF17" s="279"/>
      <c r="AG17" s="279"/>
      <c r="AH17" s="279"/>
      <c r="AI17" s="279"/>
      <c r="AJ17" s="279"/>
      <c r="AK17" s="279"/>
      <c r="AL17" s="279"/>
      <c r="AM17" s="279"/>
      <c r="AN17" s="279"/>
      <c r="AO17" s="279"/>
      <c r="AP17" s="279"/>
      <c r="AQ17" s="279"/>
      <c r="AR17" s="279"/>
      <c r="AS17" s="279"/>
      <c r="AT17" s="279"/>
      <c r="AU17" s="279"/>
      <c r="AV17" s="279"/>
      <c r="AW17" s="279"/>
      <c r="AX17" s="279"/>
      <c r="AY17" s="279"/>
      <c r="AZ17" s="279"/>
      <c r="BA17" s="279"/>
      <c r="BB17" s="279"/>
      <c r="BC17" s="279"/>
      <c r="BD17" s="279"/>
      <c r="BE17" s="279"/>
      <c r="BF17" s="279"/>
      <c r="BG17" s="279"/>
      <c r="BH17" s="279"/>
      <c r="BI17" s="798">
        <f t="shared" si="0"/>
        <v>0</v>
      </c>
      <c r="BJ17" s="798"/>
    </row>
    <row r="18" spans="3:62" s="231" customFormat="1" ht="15.95" customHeight="1" x14ac:dyDescent="0.2">
      <c r="C18" s="797" t="s">
        <v>240</v>
      </c>
      <c r="D18" s="797"/>
      <c r="E18" s="797"/>
      <c r="F18" s="279" cm="1">
        <f t="array" ref="F18">SUMPRODUCT((H_dMnt=F$10)*(H_dKW=F$11)*H_dProdToz)</f>
        <v>0</v>
      </c>
      <c r="G18" s="279" cm="1">
        <f t="array" ref="G18">SUMPRODUCT((H_dMnt=G$10)*(H_dKW=G$11)*H_dProdToz)</f>
        <v>0</v>
      </c>
      <c r="H18" s="279">
        <f>SUMIF(H_dKW,H_KW!H$11,H_dProdToz)</f>
        <v>0</v>
      </c>
      <c r="I18" s="279">
        <f>SUMIF(H_dKW,H_KW!I$11,H_dProdToz)</f>
        <v>0</v>
      </c>
      <c r="J18" s="279">
        <f>SUMIF(H_dKW,H_KW!J$11,H_dProdToz)</f>
        <v>0</v>
      </c>
      <c r="K18" s="279">
        <f>SUMIF(H_dKW,H_KW!K$11,H_dProdToz)</f>
        <v>0</v>
      </c>
      <c r="L18" s="279">
        <f>SUMIF(H_dKW,H_KW!L$11,H_dProdToz)</f>
        <v>0</v>
      </c>
      <c r="M18" s="279">
        <f>SUMIF(H_dKW,H_KW!M$11,H_dProdToz)</f>
        <v>0</v>
      </c>
      <c r="N18" s="279">
        <f>SUMIF(H_dKW,H_KW!N$11,H_dProdToz)</f>
        <v>0</v>
      </c>
      <c r="O18" s="279">
        <f>SUMIF(H_dKW,H_KW!O$11,H_dProdToz)</f>
        <v>0</v>
      </c>
      <c r="P18" s="279">
        <f>SUMIF(H_dKW,H_KW!P$11,H_dProdToz)</f>
        <v>0</v>
      </c>
      <c r="Q18" s="279">
        <f>SUMIF(H_dKW,H_KW!Q$11,H_dProdToz)</f>
        <v>0</v>
      </c>
      <c r="R18" s="279">
        <f>SUMIF(H_dKW,H_KW!R$11,H_dProdToz)</f>
        <v>0</v>
      </c>
      <c r="S18" s="279">
        <f>SUMIF(H_dKW,H_KW!S$11,H_dProdToz)</f>
        <v>0</v>
      </c>
      <c r="T18" s="279">
        <f>SUMIF(H_dKW,H_KW!T$11,H_dProdToz)</f>
        <v>0</v>
      </c>
      <c r="U18" s="279">
        <f>SUMIF(H_dKW,H_KW!U$11,H_dProdToz)</f>
        <v>0</v>
      </c>
      <c r="V18" s="279">
        <f>SUMIF(H_dKW,H_KW!V$11,H_dProdToz)</f>
        <v>0</v>
      </c>
      <c r="W18" s="279">
        <f>SUMIF(H_dKW,H_KW!W$11,H_dProdToz)</f>
        <v>0</v>
      </c>
      <c r="X18" s="279">
        <f>SUMIF(H_dKW,H_KW!X$11,H_dProdToz)</f>
        <v>0</v>
      </c>
      <c r="Y18" s="279">
        <f>SUMIF(H_dKW,H_KW!Y$11,H_dProdToz)</f>
        <v>0</v>
      </c>
      <c r="Z18" s="279">
        <f>SUMIF(H_dKW,H_KW!Z$11,H_dProdToz)</f>
        <v>0</v>
      </c>
      <c r="AA18" s="279">
        <f>SUMIF(H_dKW,H_KW!AA$11,H_dProdToz)</f>
        <v>0</v>
      </c>
      <c r="AB18" s="279">
        <f>SUMIF(H_dKW,H_KW!AB$11,H_dProdToz)</f>
        <v>0</v>
      </c>
      <c r="AC18" s="279">
        <f>SUMIF(H_dKW,H_KW!AC$11,H_dProdToz)</f>
        <v>0</v>
      </c>
      <c r="AD18" s="279">
        <f>SUMIF(H_dKW,H_KW!AD$11,H_dProdToz)</f>
        <v>0</v>
      </c>
      <c r="AE18" s="279">
        <f>SUMIF(H_dKW,H_KW!AE$11,H_dProdToz)</f>
        <v>0</v>
      </c>
      <c r="AF18" s="279">
        <f>SUMIF(H_dKW,H_KW!AF$11,H_dProdToz)</f>
        <v>0</v>
      </c>
      <c r="AG18" s="279">
        <f>SUMIF(H_dKW,H_KW!AG$11,H_dProdToz)</f>
        <v>0</v>
      </c>
      <c r="AH18" s="279">
        <f>SUMIF(H_dKW,H_KW!AH$11,H_dProdToz)</f>
        <v>0</v>
      </c>
      <c r="AI18" s="279">
        <f>SUMIF(H_dKW,H_KW!AI$11,H_dProdToz)</f>
        <v>0</v>
      </c>
      <c r="AJ18" s="279">
        <f>SUMIF(H_dKW,H_KW!AJ$11,H_dProdToz)</f>
        <v>0</v>
      </c>
      <c r="AK18" s="279">
        <f>SUMIF(H_dKW,H_KW!AK$11,H_dProdToz)</f>
        <v>0</v>
      </c>
      <c r="AL18" s="279">
        <f>SUMIF(H_dKW,H_KW!AL$11,H_dProdToz)</f>
        <v>0</v>
      </c>
      <c r="AM18" s="279">
        <f>SUMIF(H_dKW,H_KW!AM$11,H_dProdToz)</f>
        <v>0</v>
      </c>
      <c r="AN18" s="279">
        <f>SUMIF(H_dKW,H_KW!AN$11,H_dProdToz)</f>
        <v>0</v>
      </c>
      <c r="AO18" s="279">
        <f>SUMIF(H_dKW,H_KW!AO$11,H_dProdToz)</f>
        <v>0</v>
      </c>
      <c r="AP18" s="279">
        <f>SUMIF(H_dKW,H_KW!AP$11,H_dProdToz)</f>
        <v>0</v>
      </c>
      <c r="AQ18" s="279">
        <f>SUMIF(H_dKW,H_KW!AQ$11,H_dProdToz)</f>
        <v>0</v>
      </c>
      <c r="AR18" s="279">
        <f>SUMIF(H_dKW,H_KW!AR$11,H_dProdToz)</f>
        <v>0</v>
      </c>
      <c r="AS18" s="279">
        <f>SUMIF(H_dKW,H_KW!AS$11,H_dProdToz)</f>
        <v>0</v>
      </c>
      <c r="AT18" s="279">
        <f>SUMIF(H_dKW,H_KW!AT$11,H_dProdToz)</f>
        <v>0</v>
      </c>
      <c r="AU18" s="279">
        <f>SUMIF(H_dKW,H_KW!AU$11,H_dProdToz)</f>
        <v>0</v>
      </c>
      <c r="AV18" s="279">
        <f>SUMIF(H_dKW,H_KW!AV$11,H_dProdToz)</f>
        <v>0</v>
      </c>
      <c r="AW18" s="279">
        <f>SUMIF(H_dKW,H_KW!AW$11,H_dProdToz)</f>
        <v>0</v>
      </c>
      <c r="AX18" s="279">
        <f>SUMIF(H_dKW,H_KW!AX$11,H_dProdToz)</f>
        <v>0</v>
      </c>
      <c r="AY18" s="279">
        <f>SUMIF(H_dKW,H_KW!AY$11,H_dProdToz)</f>
        <v>0</v>
      </c>
      <c r="AZ18" s="279">
        <f>SUMIF(H_dKW,H_KW!AZ$11,H_dProdToz)</f>
        <v>0</v>
      </c>
      <c r="BA18" s="279">
        <f>SUMIF(H_dKW,H_KW!BA$11,H_dProdToz)</f>
        <v>0</v>
      </c>
      <c r="BB18" s="279">
        <f>SUMIF(H_dKW,H_KW!BB$11,H_dProdToz)</f>
        <v>0</v>
      </c>
      <c r="BC18" s="279">
        <f>SUMIF(H_dKW,H_KW!BC$11,H_dProdToz)</f>
        <v>0</v>
      </c>
      <c r="BD18" s="279">
        <f>SUMIF(H_dKW,H_KW!BD$11,H_dProdToz)</f>
        <v>0</v>
      </c>
      <c r="BE18" s="279">
        <f>SUMIF(H_dKW,H_KW!BE$11,H_dProdToz)</f>
        <v>0</v>
      </c>
      <c r="BF18" s="279">
        <f>SUMIF(H_dKW,H_KW!BF$11,H_dProdToz)</f>
        <v>0</v>
      </c>
      <c r="BG18" s="279" cm="1">
        <f t="array" ref="BG18">SUMPRODUCT((H_dMnt=BG$10)*(H_dKW=BG$11)*H_dProdToz)</f>
        <v>0</v>
      </c>
      <c r="BH18" s="279" cm="1">
        <f t="array" ref="BH18">SUMPRODUCT((H_dMnt=BH$10)*(H_dKW=BH$11)*H_dProdToz)</f>
        <v>0</v>
      </c>
      <c r="BI18" s="798">
        <f t="shared" si="0"/>
        <v>0</v>
      </c>
      <c r="BJ18" s="798"/>
    </row>
    <row r="19" spans="3:62" s="231" customFormat="1" ht="15.95" customHeight="1" x14ac:dyDescent="0.2">
      <c r="C19" s="797" t="s">
        <v>241</v>
      </c>
      <c r="D19" s="797"/>
      <c r="E19" s="797"/>
      <c r="F19" s="279">
        <f t="shared" ref="F19:AK19" si="2">F18-A_fldMaxWStd</f>
        <v>-48</v>
      </c>
      <c r="G19" s="279">
        <f t="shared" si="2"/>
        <v>-48</v>
      </c>
      <c r="H19" s="279">
        <f t="shared" si="2"/>
        <v>-48</v>
      </c>
      <c r="I19" s="279">
        <f t="shared" si="2"/>
        <v>-48</v>
      </c>
      <c r="J19" s="279">
        <f t="shared" si="2"/>
        <v>-48</v>
      </c>
      <c r="K19" s="279">
        <f t="shared" si="2"/>
        <v>-48</v>
      </c>
      <c r="L19" s="279">
        <f t="shared" si="2"/>
        <v>-48</v>
      </c>
      <c r="M19" s="279">
        <f t="shared" si="2"/>
        <v>-48</v>
      </c>
      <c r="N19" s="279">
        <f t="shared" si="2"/>
        <v>-48</v>
      </c>
      <c r="O19" s="279">
        <f t="shared" si="2"/>
        <v>-48</v>
      </c>
      <c r="P19" s="279">
        <f t="shared" si="2"/>
        <v>-48</v>
      </c>
      <c r="Q19" s="279">
        <f t="shared" si="2"/>
        <v>-48</v>
      </c>
      <c r="R19" s="279">
        <f t="shared" si="2"/>
        <v>-48</v>
      </c>
      <c r="S19" s="279">
        <f t="shared" si="2"/>
        <v>-48</v>
      </c>
      <c r="T19" s="279">
        <f t="shared" si="2"/>
        <v>-48</v>
      </c>
      <c r="U19" s="279">
        <f t="shared" si="2"/>
        <v>-48</v>
      </c>
      <c r="V19" s="279">
        <f t="shared" si="2"/>
        <v>-48</v>
      </c>
      <c r="W19" s="279">
        <f t="shared" si="2"/>
        <v>-48</v>
      </c>
      <c r="X19" s="279">
        <f t="shared" si="2"/>
        <v>-48</v>
      </c>
      <c r="Y19" s="279">
        <f t="shared" si="2"/>
        <v>-48</v>
      </c>
      <c r="Z19" s="279">
        <f t="shared" si="2"/>
        <v>-48</v>
      </c>
      <c r="AA19" s="279">
        <f t="shared" si="2"/>
        <v>-48</v>
      </c>
      <c r="AB19" s="279">
        <f t="shared" si="2"/>
        <v>-48</v>
      </c>
      <c r="AC19" s="279">
        <f t="shared" si="2"/>
        <v>-48</v>
      </c>
      <c r="AD19" s="279">
        <f t="shared" si="2"/>
        <v>-48</v>
      </c>
      <c r="AE19" s="279">
        <f t="shared" si="2"/>
        <v>-48</v>
      </c>
      <c r="AF19" s="279">
        <f t="shared" si="2"/>
        <v>-48</v>
      </c>
      <c r="AG19" s="279">
        <f t="shared" si="2"/>
        <v>-48</v>
      </c>
      <c r="AH19" s="279">
        <f t="shared" si="2"/>
        <v>-48</v>
      </c>
      <c r="AI19" s="279">
        <f t="shared" si="2"/>
        <v>-48</v>
      </c>
      <c r="AJ19" s="279">
        <f t="shared" si="2"/>
        <v>-48</v>
      </c>
      <c r="AK19" s="279">
        <f t="shared" si="2"/>
        <v>-48</v>
      </c>
      <c r="AL19" s="279">
        <f t="shared" ref="AL19:BH19" si="3">AL18-A_fldMaxWStd</f>
        <v>-48</v>
      </c>
      <c r="AM19" s="279">
        <f t="shared" si="3"/>
        <v>-48</v>
      </c>
      <c r="AN19" s="279">
        <f t="shared" si="3"/>
        <v>-48</v>
      </c>
      <c r="AO19" s="279">
        <f t="shared" si="3"/>
        <v>-48</v>
      </c>
      <c r="AP19" s="279">
        <f t="shared" si="3"/>
        <v>-48</v>
      </c>
      <c r="AQ19" s="279">
        <f t="shared" si="3"/>
        <v>-48</v>
      </c>
      <c r="AR19" s="279">
        <f t="shared" si="3"/>
        <v>-48</v>
      </c>
      <c r="AS19" s="279">
        <f t="shared" si="3"/>
        <v>-48</v>
      </c>
      <c r="AT19" s="279">
        <f t="shared" si="3"/>
        <v>-48</v>
      </c>
      <c r="AU19" s="279">
        <f t="shared" si="3"/>
        <v>-48</v>
      </c>
      <c r="AV19" s="279">
        <f t="shared" si="3"/>
        <v>-48</v>
      </c>
      <c r="AW19" s="279">
        <f t="shared" si="3"/>
        <v>-48</v>
      </c>
      <c r="AX19" s="279">
        <f t="shared" si="3"/>
        <v>-48</v>
      </c>
      <c r="AY19" s="279">
        <f t="shared" si="3"/>
        <v>-48</v>
      </c>
      <c r="AZ19" s="279">
        <f t="shared" si="3"/>
        <v>-48</v>
      </c>
      <c r="BA19" s="279">
        <f t="shared" si="3"/>
        <v>-48</v>
      </c>
      <c r="BB19" s="279">
        <f t="shared" si="3"/>
        <v>-48</v>
      </c>
      <c r="BC19" s="279">
        <f t="shared" si="3"/>
        <v>-48</v>
      </c>
      <c r="BD19" s="279">
        <f t="shared" si="3"/>
        <v>-48</v>
      </c>
      <c r="BE19" s="279">
        <f t="shared" si="3"/>
        <v>-48</v>
      </c>
      <c r="BF19" s="279">
        <f t="shared" si="3"/>
        <v>-48</v>
      </c>
      <c r="BG19" s="279">
        <f t="shared" si="3"/>
        <v>-48</v>
      </c>
      <c r="BH19" s="279">
        <f t="shared" si="3"/>
        <v>-48</v>
      </c>
      <c r="BI19" s="798">
        <f t="shared" ref="BI19" si="4">SUM(F19:BH19)</f>
        <v>-2640</v>
      </c>
      <c r="BJ19" s="798"/>
    </row>
    <row r="20" spans="3:62" s="231" customFormat="1" ht="15.95" customHeight="1" x14ac:dyDescent="0.2">
      <c r="C20" s="797" t="s">
        <v>242</v>
      </c>
      <c r="D20" s="797"/>
      <c r="E20" s="797"/>
      <c r="F20" s="279">
        <f t="shared" ref="F20:AK20" si="5">IF(F19&gt;0,F19*A_fldZ1,0)</f>
        <v>0</v>
      </c>
      <c r="G20" s="279">
        <f t="shared" si="5"/>
        <v>0</v>
      </c>
      <c r="H20" s="279">
        <f t="shared" si="5"/>
        <v>0</v>
      </c>
      <c r="I20" s="279">
        <f t="shared" si="5"/>
        <v>0</v>
      </c>
      <c r="J20" s="279">
        <f t="shared" si="5"/>
        <v>0</v>
      </c>
      <c r="K20" s="279">
        <f t="shared" si="5"/>
        <v>0</v>
      </c>
      <c r="L20" s="279">
        <f t="shared" si="5"/>
        <v>0</v>
      </c>
      <c r="M20" s="279">
        <f t="shared" si="5"/>
        <v>0</v>
      </c>
      <c r="N20" s="279">
        <f t="shared" si="5"/>
        <v>0</v>
      </c>
      <c r="O20" s="279">
        <f t="shared" si="5"/>
        <v>0</v>
      </c>
      <c r="P20" s="279">
        <f t="shared" si="5"/>
        <v>0</v>
      </c>
      <c r="Q20" s="279">
        <f t="shared" si="5"/>
        <v>0</v>
      </c>
      <c r="R20" s="279">
        <f t="shared" si="5"/>
        <v>0</v>
      </c>
      <c r="S20" s="279">
        <f t="shared" si="5"/>
        <v>0</v>
      </c>
      <c r="T20" s="279">
        <f t="shared" si="5"/>
        <v>0</v>
      </c>
      <c r="U20" s="279">
        <f t="shared" si="5"/>
        <v>0</v>
      </c>
      <c r="V20" s="279">
        <f t="shared" si="5"/>
        <v>0</v>
      </c>
      <c r="W20" s="279">
        <f t="shared" si="5"/>
        <v>0</v>
      </c>
      <c r="X20" s="279">
        <f t="shared" si="5"/>
        <v>0</v>
      </c>
      <c r="Y20" s="279">
        <f t="shared" si="5"/>
        <v>0</v>
      </c>
      <c r="Z20" s="279">
        <f t="shared" si="5"/>
        <v>0</v>
      </c>
      <c r="AA20" s="279">
        <f t="shared" si="5"/>
        <v>0</v>
      </c>
      <c r="AB20" s="279">
        <f t="shared" si="5"/>
        <v>0</v>
      </c>
      <c r="AC20" s="279">
        <f t="shared" si="5"/>
        <v>0</v>
      </c>
      <c r="AD20" s="279">
        <f t="shared" si="5"/>
        <v>0</v>
      </c>
      <c r="AE20" s="279">
        <f t="shared" si="5"/>
        <v>0</v>
      </c>
      <c r="AF20" s="279">
        <f t="shared" si="5"/>
        <v>0</v>
      </c>
      <c r="AG20" s="279">
        <f t="shared" si="5"/>
        <v>0</v>
      </c>
      <c r="AH20" s="279">
        <f t="shared" si="5"/>
        <v>0</v>
      </c>
      <c r="AI20" s="279">
        <f t="shared" si="5"/>
        <v>0</v>
      </c>
      <c r="AJ20" s="279">
        <f t="shared" si="5"/>
        <v>0</v>
      </c>
      <c r="AK20" s="279">
        <f t="shared" si="5"/>
        <v>0</v>
      </c>
      <c r="AL20" s="279">
        <f t="shared" ref="AL20:BH20" si="6">IF(AL19&gt;0,AL19*A_fldZ1,0)</f>
        <v>0</v>
      </c>
      <c r="AM20" s="279">
        <f t="shared" si="6"/>
        <v>0</v>
      </c>
      <c r="AN20" s="279">
        <f t="shared" si="6"/>
        <v>0</v>
      </c>
      <c r="AO20" s="279">
        <f t="shared" si="6"/>
        <v>0</v>
      </c>
      <c r="AP20" s="279">
        <f t="shared" si="6"/>
        <v>0</v>
      </c>
      <c r="AQ20" s="279">
        <f t="shared" si="6"/>
        <v>0</v>
      </c>
      <c r="AR20" s="279">
        <f t="shared" si="6"/>
        <v>0</v>
      </c>
      <c r="AS20" s="279">
        <f t="shared" si="6"/>
        <v>0</v>
      </c>
      <c r="AT20" s="279">
        <f t="shared" si="6"/>
        <v>0</v>
      </c>
      <c r="AU20" s="279">
        <f t="shared" si="6"/>
        <v>0</v>
      </c>
      <c r="AV20" s="279">
        <f t="shared" si="6"/>
        <v>0</v>
      </c>
      <c r="AW20" s="279">
        <f t="shared" si="6"/>
        <v>0</v>
      </c>
      <c r="AX20" s="279">
        <f t="shared" si="6"/>
        <v>0</v>
      </c>
      <c r="AY20" s="279">
        <f t="shared" si="6"/>
        <v>0</v>
      </c>
      <c r="AZ20" s="279">
        <f t="shared" si="6"/>
        <v>0</v>
      </c>
      <c r="BA20" s="279">
        <f t="shared" si="6"/>
        <v>0</v>
      </c>
      <c r="BB20" s="279">
        <f t="shared" si="6"/>
        <v>0</v>
      </c>
      <c r="BC20" s="279">
        <f t="shared" si="6"/>
        <v>0</v>
      </c>
      <c r="BD20" s="279">
        <f t="shared" si="6"/>
        <v>0</v>
      </c>
      <c r="BE20" s="279">
        <f t="shared" si="6"/>
        <v>0</v>
      </c>
      <c r="BF20" s="279">
        <f t="shared" si="6"/>
        <v>0</v>
      </c>
      <c r="BG20" s="279">
        <f t="shared" si="6"/>
        <v>0</v>
      </c>
      <c r="BH20" s="279">
        <f t="shared" si="6"/>
        <v>0</v>
      </c>
      <c r="BI20" s="798">
        <f t="shared" ref="BI20" si="7">SUM(F20:BH20)</f>
        <v>0</v>
      </c>
      <c r="BJ20" s="798"/>
    </row>
  </sheetData>
  <sheetProtection algorithmName="SHA-512" hashValue="sO8zy+xeXwKfN/Z0o3pHhl4WAZC/LSALv2XNeNpuI/P93pswPhe3OATGHDTlK3LbrP3/9TsyVSLSws5UqAbHeA==" saltValue="IUj2A51lAbbjJXACO32rYA==" spinCount="100000" sheet="1" objects="1" scenarios="1"/>
  <mergeCells count="23">
    <mergeCell ref="C8:U8"/>
    <mergeCell ref="C11:E11"/>
    <mergeCell ref="C10:E10"/>
    <mergeCell ref="C12:E12"/>
    <mergeCell ref="C13:E13"/>
    <mergeCell ref="C14:E14"/>
    <mergeCell ref="C15:E15"/>
    <mergeCell ref="C16:E16"/>
    <mergeCell ref="C17:E17"/>
    <mergeCell ref="C18:E18"/>
    <mergeCell ref="BI10:BJ10"/>
    <mergeCell ref="BI11:BJ11"/>
    <mergeCell ref="BI12:BJ12"/>
    <mergeCell ref="BI13:BJ13"/>
    <mergeCell ref="BI14:BJ14"/>
    <mergeCell ref="C20:E20"/>
    <mergeCell ref="BI20:BJ20"/>
    <mergeCell ref="BI15:BJ15"/>
    <mergeCell ref="BI16:BJ16"/>
    <mergeCell ref="BI17:BJ17"/>
    <mergeCell ref="BI18:BJ18"/>
    <mergeCell ref="C19:E19"/>
    <mergeCell ref="BI19:BJ19"/>
  </mergeCells>
  <phoneticPr fontId="13" type="noConversion"/>
  <pageMargins left="0.7" right="0.7" top="0.78740157499999996" bottom="0.78740157499999996" header="0.3" footer="0.3"/>
  <ignoredErrors>
    <ignoredError sqref="F16:BH16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07B96-91B0-4FF9-AC0A-69FB86896EEA}">
  <sheetPr codeName="sys3">
    <tabColor theme="2"/>
  </sheetPr>
  <dimension ref="B2:AO23"/>
  <sheetViews>
    <sheetView zoomScale="80" zoomScaleNormal="80" workbookViewId="0">
      <selection activeCell="N48" sqref="N48"/>
    </sheetView>
  </sheetViews>
  <sheetFormatPr baseColWidth="10" defaultColWidth="3.5703125" defaultRowHeight="12.75" x14ac:dyDescent="0.2"/>
  <cols>
    <col min="1" max="1" width="3.5703125" style="11"/>
    <col min="2" max="2" width="4" style="11" customWidth="1"/>
    <col min="3" max="3" width="5.7109375" style="11" customWidth="1"/>
    <col min="4" max="4" width="3.5703125" style="11"/>
    <col min="5" max="5" width="7.28515625" style="11" bestFit="1" customWidth="1"/>
    <col min="6" max="6" width="5.5703125" style="11" customWidth="1"/>
    <col min="7" max="41" width="5.140625" style="11" customWidth="1"/>
    <col min="42" max="71" width="4.5703125" style="11" customWidth="1"/>
    <col min="72" max="16384" width="3.5703125" style="11"/>
  </cols>
  <sheetData>
    <row r="2" spans="2:41" s="266" customFormat="1" ht="27.75" x14ac:dyDescent="0.2">
      <c r="B2" s="266" t="s">
        <v>243</v>
      </c>
    </row>
    <row r="5" spans="2:41" ht="15.75" x14ac:dyDescent="0.2">
      <c r="B5" s="808" t="s">
        <v>244</v>
      </c>
      <c r="C5" s="808"/>
      <c r="D5" s="808"/>
      <c r="E5" s="808"/>
      <c r="F5" s="808"/>
      <c r="G5" s="808"/>
      <c r="H5" s="808"/>
      <c r="I5" s="808"/>
      <c r="J5" s="808"/>
      <c r="K5" s="808"/>
      <c r="L5" s="808"/>
      <c r="M5" s="808"/>
      <c r="N5" s="808"/>
      <c r="O5" s="808"/>
      <c r="P5" s="808"/>
      <c r="Q5" s="808"/>
      <c r="R5" s="808"/>
      <c r="S5" s="808"/>
      <c r="T5" s="808"/>
    </row>
    <row r="11" spans="2:41" s="38" customFormat="1" ht="15.6" customHeight="1" x14ac:dyDescent="0.2">
      <c r="F11" s="805"/>
      <c r="G11" s="806"/>
      <c r="H11" s="807"/>
      <c r="I11" s="267"/>
      <c r="J11" s="267"/>
      <c r="K11" s="268">
        <v>1</v>
      </c>
      <c r="L11" s="268">
        <v>2</v>
      </c>
      <c r="M11" s="268">
        <v>3</v>
      </c>
      <c r="N11" s="268">
        <v>4</v>
      </c>
      <c r="O11" s="268">
        <v>5</v>
      </c>
      <c r="P11" s="268">
        <v>6</v>
      </c>
      <c r="Q11" s="268">
        <v>7</v>
      </c>
      <c r="R11" s="268">
        <v>8</v>
      </c>
      <c r="S11" s="268">
        <v>9</v>
      </c>
      <c r="T11" s="268">
        <v>10</v>
      </c>
      <c r="U11" s="268">
        <v>11</v>
      </c>
      <c r="V11" s="268">
        <v>12</v>
      </c>
      <c r="W11" s="268">
        <v>13</v>
      </c>
      <c r="X11" s="268">
        <v>14</v>
      </c>
      <c r="Y11" s="268">
        <v>15</v>
      </c>
      <c r="Z11" s="268">
        <v>16</v>
      </c>
      <c r="AA11" s="268">
        <v>17</v>
      </c>
      <c r="AB11" s="268">
        <v>18</v>
      </c>
      <c r="AC11" s="268">
        <v>19</v>
      </c>
      <c r="AD11" s="268">
        <v>20</v>
      </c>
      <c r="AE11" s="268">
        <v>21</v>
      </c>
      <c r="AF11" s="268">
        <v>22</v>
      </c>
      <c r="AG11" s="268">
        <v>23</v>
      </c>
      <c r="AH11" s="268">
        <v>24</v>
      </c>
      <c r="AI11" s="268">
        <v>25</v>
      </c>
      <c r="AJ11" s="268">
        <v>26</v>
      </c>
      <c r="AK11" s="268">
        <v>27</v>
      </c>
      <c r="AL11" s="268">
        <v>28</v>
      </c>
      <c r="AM11" s="268">
        <v>29</v>
      </c>
      <c r="AN11" s="268">
        <v>30</v>
      </c>
      <c r="AO11" s="268">
        <v>31</v>
      </c>
    </row>
    <row r="12" spans="2:41" ht="15.6" customHeight="1" x14ac:dyDescent="0.2">
      <c r="F12" s="804"/>
      <c r="G12" s="804"/>
      <c r="H12" s="804"/>
      <c r="I12" s="268">
        <v>1</v>
      </c>
      <c r="J12" s="269" t="s">
        <v>68</v>
      </c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0"/>
      <c r="W12" s="270"/>
      <c r="X12" s="270"/>
      <c r="Y12" s="270"/>
      <c r="Z12" s="270"/>
      <c r="AA12" s="270"/>
      <c r="AB12" s="270"/>
      <c r="AC12" s="270"/>
      <c r="AD12" s="270"/>
      <c r="AE12" s="270"/>
      <c r="AF12" s="270"/>
      <c r="AG12" s="270"/>
      <c r="AH12" s="270"/>
      <c r="AI12" s="270"/>
      <c r="AJ12" s="270"/>
      <c r="AK12" s="270"/>
      <c r="AL12" s="270"/>
      <c r="AM12" s="270"/>
      <c r="AN12" s="270"/>
      <c r="AO12" s="272"/>
    </row>
    <row r="13" spans="2:41" ht="15.6" customHeight="1" x14ac:dyDescent="0.2">
      <c r="F13" s="804"/>
      <c r="G13" s="804"/>
      <c r="H13" s="804"/>
      <c r="I13" s="268">
        <v>2</v>
      </c>
      <c r="J13" s="273" t="s">
        <v>69</v>
      </c>
      <c r="K13" s="270"/>
      <c r="L13" s="270"/>
      <c r="M13" s="270"/>
      <c r="N13" s="270"/>
      <c r="O13" s="270"/>
      <c r="P13" s="270"/>
      <c r="Q13" s="270"/>
      <c r="R13" s="270"/>
      <c r="S13" s="270"/>
      <c r="T13" s="270"/>
      <c r="U13" s="270"/>
      <c r="V13" s="270"/>
      <c r="W13" s="270"/>
      <c r="X13" s="270"/>
      <c r="Y13" s="270"/>
      <c r="Z13" s="270"/>
      <c r="AA13" s="270"/>
      <c r="AB13" s="270"/>
      <c r="AC13" s="270"/>
      <c r="AD13" s="270"/>
      <c r="AE13" s="270"/>
      <c r="AF13" s="270"/>
      <c r="AG13" s="270"/>
      <c r="AH13" s="270"/>
      <c r="AI13" s="270"/>
      <c r="AJ13" s="270"/>
      <c r="AK13" s="270"/>
      <c r="AL13" s="270"/>
      <c r="AM13" s="270"/>
      <c r="AN13" s="270"/>
      <c r="AO13" s="272"/>
    </row>
    <row r="14" spans="2:41" ht="15.6" customHeight="1" x14ac:dyDescent="0.2">
      <c r="F14" s="804"/>
      <c r="G14" s="804"/>
      <c r="H14" s="804"/>
      <c r="I14" s="268">
        <v>3</v>
      </c>
      <c r="J14" s="273" t="s">
        <v>70</v>
      </c>
      <c r="K14" s="270"/>
      <c r="L14" s="270"/>
      <c r="M14" s="270"/>
      <c r="N14" s="270"/>
      <c r="O14" s="270"/>
      <c r="P14" s="270"/>
      <c r="Q14" s="270"/>
      <c r="R14" s="270"/>
      <c r="S14" s="270"/>
      <c r="T14" s="270"/>
      <c r="U14" s="270"/>
      <c r="V14" s="270"/>
      <c r="W14" s="270"/>
      <c r="X14" s="270"/>
      <c r="Y14" s="270"/>
      <c r="Z14" s="270"/>
      <c r="AA14" s="270"/>
      <c r="AB14" s="270"/>
      <c r="AC14" s="270"/>
      <c r="AD14" s="270"/>
      <c r="AE14" s="270"/>
      <c r="AF14" s="270"/>
      <c r="AG14" s="270"/>
      <c r="AH14" s="270"/>
      <c r="AI14" s="270"/>
      <c r="AJ14" s="270"/>
      <c r="AK14" s="270"/>
      <c r="AL14" s="270"/>
      <c r="AM14" s="270"/>
      <c r="AN14" s="270"/>
      <c r="AO14" s="272"/>
    </row>
    <row r="15" spans="2:41" ht="15.6" customHeight="1" x14ac:dyDescent="0.2">
      <c r="F15" s="804"/>
      <c r="G15" s="804"/>
      <c r="H15" s="804"/>
      <c r="I15" s="268">
        <v>4</v>
      </c>
      <c r="J15" s="273" t="s">
        <v>71</v>
      </c>
      <c r="K15" s="270"/>
      <c r="L15" s="270"/>
      <c r="M15" s="270"/>
      <c r="N15" s="270"/>
      <c r="O15" s="270"/>
      <c r="P15" s="270"/>
      <c r="Q15" s="270"/>
      <c r="R15" s="270"/>
      <c r="S15" s="270"/>
      <c r="T15" s="270"/>
      <c r="U15" s="270"/>
      <c r="V15" s="270"/>
      <c r="W15" s="270"/>
      <c r="X15" s="270"/>
      <c r="Y15" s="270"/>
      <c r="Z15" s="270"/>
      <c r="AA15" s="270"/>
      <c r="AB15" s="270"/>
      <c r="AC15" s="270"/>
      <c r="AD15" s="270"/>
      <c r="AE15" s="270"/>
      <c r="AF15" s="270"/>
      <c r="AG15" s="270"/>
      <c r="AH15" s="270"/>
      <c r="AI15" s="270"/>
      <c r="AJ15" s="270"/>
      <c r="AK15" s="270"/>
      <c r="AL15" s="270"/>
      <c r="AM15" s="270"/>
      <c r="AN15" s="270"/>
      <c r="AO15" s="272"/>
    </row>
    <row r="16" spans="2:41" ht="15.6" customHeight="1" x14ac:dyDescent="0.2">
      <c r="F16" s="804"/>
      <c r="G16" s="804"/>
      <c r="H16" s="804"/>
      <c r="I16" s="268">
        <v>5</v>
      </c>
      <c r="J16" s="273" t="s">
        <v>72</v>
      </c>
      <c r="K16" s="270"/>
      <c r="L16" s="270"/>
      <c r="M16" s="270"/>
      <c r="N16" s="270"/>
      <c r="O16" s="270"/>
      <c r="P16" s="270"/>
      <c r="Q16" s="270"/>
      <c r="R16" s="270"/>
      <c r="S16" s="270"/>
      <c r="T16" s="270"/>
      <c r="U16" s="270"/>
      <c r="V16" s="270"/>
      <c r="W16" s="270"/>
      <c r="X16" s="270"/>
      <c r="Y16" s="270"/>
      <c r="Z16" s="270"/>
      <c r="AA16" s="270"/>
      <c r="AB16" s="270"/>
      <c r="AC16" s="270"/>
      <c r="AD16" s="270"/>
      <c r="AE16" s="270"/>
      <c r="AF16" s="270"/>
      <c r="AG16" s="270"/>
      <c r="AH16" s="270"/>
      <c r="AI16" s="270"/>
      <c r="AJ16" s="270"/>
      <c r="AK16" s="270"/>
      <c r="AL16" s="270"/>
      <c r="AM16" s="270"/>
      <c r="AN16" s="270"/>
      <c r="AO16" s="272"/>
    </row>
    <row r="17" spans="6:41" ht="15.6" customHeight="1" x14ac:dyDescent="0.2">
      <c r="F17" s="804"/>
      <c r="G17" s="804"/>
      <c r="H17" s="804"/>
      <c r="I17" s="268">
        <v>6</v>
      </c>
      <c r="J17" s="273" t="s">
        <v>73</v>
      </c>
      <c r="K17" s="270"/>
      <c r="L17" s="270"/>
      <c r="M17" s="270"/>
      <c r="N17" s="270"/>
      <c r="O17" s="270"/>
      <c r="P17" s="270"/>
      <c r="Q17" s="270"/>
      <c r="R17" s="270"/>
      <c r="S17" s="270"/>
      <c r="T17" s="270"/>
      <c r="U17" s="270"/>
      <c r="V17" s="270"/>
      <c r="W17" s="270"/>
      <c r="X17" s="270"/>
      <c r="Y17" s="270"/>
      <c r="Z17" s="270"/>
      <c r="AA17" s="270"/>
      <c r="AB17" s="270"/>
      <c r="AC17" s="270"/>
      <c r="AD17" s="270"/>
      <c r="AE17" s="270"/>
      <c r="AF17" s="270"/>
      <c r="AG17" s="270"/>
      <c r="AH17" s="270"/>
      <c r="AI17" s="270"/>
      <c r="AJ17" s="270"/>
      <c r="AK17" s="270"/>
      <c r="AL17" s="270"/>
      <c r="AM17" s="270"/>
      <c r="AN17" s="270"/>
      <c r="AO17" s="272"/>
    </row>
    <row r="18" spans="6:41" ht="15.6" customHeight="1" x14ac:dyDescent="0.2">
      <c r="F18" s="804"/>
      <c r="G18" s="804"/>
      <c r="H18" s="804"/>
      <c r="I18" s="268">
        <v>7</v>
      </c>
      <c r="J18" s="273" t="s">
        <v>74</v>
      </c>
      <c r="K18" s="270"/>
      <c r="L18" s="270"/>
      <c r="M18" s="270"/>
      <c r="N18" s="270"/>
      <c r="O18" s="270"/>
      <c r="P18" s="270"/>
      <c r="Q18" s="270"/>
      <c r="R18" s="270"/>
      <c r="S18" s="270"/>
      <c r="T18" s="270"/>
      <c r="U18" s="270"/>
      <c r="V18" s="270"/>
      <c r="W18" s="270"/>
      <c r="X18" s="270"/>
      <c r="Y18" s="270"/>
      <c r="Z18" s="270"/>
      <c r="AA18" s="270"/>
      <c r="AB18" s="270"/>
      <c r="AC18" s="270"/>
      <c r="AD18" s="270"/>
      <c r="AE18" s="270"/>
      <c r="AF18" s="270"/>
      <c r="AG18" s="270"/>
      <c r="AH18" s="270"/>
      <c r="AI18" s="270"/>
      <c r="AJ18" s="270"/>
      <c r="AK18" s="270"/>
      <c r="AL18" s="270"/>
      <c r="AM18" s="270"/>
      <c r="AN18" s="270"/>
      <c r="AO18" s="272"/>
    </row>
    <row r="19" spans="6:41" ht="15.6" customHeight="1" x14ac:dyDescent="0.2">
      <c r="F19" s="804"/>
      <c r="G19" s="804"/>
      <c r="H19" s="804"/>
      <c r="I19" s="268">
        <v>8</v>
      </c>
      <c r="J19" s="273" t="s">
        <v>75</v>
      </c>
      <c r="K19" s="270"/>
      <c r="L19" s="270"/>
      <c r="M19" s="270"/>
      <c r="N19" s="270"/>
      <c r="O19" s="270"/>
      <c r="P19" s="270"/>
      <c r="Q19" s="270"/>
      <c r="R19" s="270"/>
      <c r="S19" s="270"/>
      <c r="T19" s="270"/>
      <c r="U19" s="270"/>
      <c r="V19" s="270"/>
      <c r="W19" s="270"/>
      <c r="X19" s="270"/>
      <c r="Y19" s="270"/>
      <c r="Z19" s="270"/>
      <c r="AA19" s="270"/>
      <c r="AB19" s="270"/>
      <c r="AC19" s="270"/>
      <c r="AD19" s="270"/>
      <c r="AE19" s="270"/>
      <c r="AF19" s="270"/>
      <c r="AG19" s="270"/>
      <c r="AH19" s="270"/>
      <c r="AI19" s="270"/>
      <c r="AJ19" s="270"/>
      <c r="AK19" s="270"/>
      <c r="AL19" s="270"/>
      <c r="AM19" s="270"/>
      <c r="AN19" s="270"/>
      <c r="AO19" s="272"/>
    </row>
    <row r="20" spans="6:41" ht="15.6" customHeight="1" x14ac:dyDescent="0.2">
      <c r="F20" s="804"/>
      <c r="G20" s="804"/>
      <c r="H20" s="804"/>
      <c r="I20" s="268">
        <v>9</v>
      </c>
      <c r="J20" s="273" t="s">
        <v>76</v>
      </c>
      <c r="K20" s="270"/>
      <c r="L20" s="270"/>
      <c r="M20" s="270"/>
      <c r="N20" s="270"/>
      <c r="O20" s="270"/>
      <c r="P20" s="270"/>
      <c r="Q20" s="270"/>
      <c r="R20" s="270"/>
      <c r="S20" s="270"/>
      <c r="T20" s="270"/>
      <c r="U20" s="270"/>
      <c r="V20" s="270"/>
      <c r="W20" s="270"/>
      <c r="X20" s="270"/>
      <c r="Y20" s="270"/>
      <c r="Z20" s="270"/>
      <c r="AA20" s="270"/>
      <c r="AB20" s="270"/>
      <c r="AC20" s="270"/>
      <c r="AD20" s="270"/>
      <c r="AE20" s="270"/>
      <c r="AF20" s="270"/>
      <c r="AG20" s="270"/>
      <c r="AH20" s="270"/>
      <c r="AI20" s="270"/>
      <c r="AJ20" s="270"/>
      <c r="AK20" s="270"/>
      <c r="AL20" s="270"/>
      <c r="AM20" s="270"/>
      <c r="AN20" s="270"/>
      <c r="AO20" s="272"/>
    </row>
    <row r="21" spans="6:41" ht="15.6" customHeight="1" x14ac:dyDescent="0.2">
      <c r="F21" s="804"/>
      <c r="G21" s="804"/>
      <c r="H21" s="804"/>
      <c r="I21" s="268">
        <v>10</v>
      </c>
      <c r="J21" s="273" t="s">
        <v>77</v>
      </c>
      <c r="K21" s="270"/>
      <c r="L21" s="270"/>
      <c r="M21" s="270"/>
      <c r="N21" s="270"/>
      <c r="O21" s="270"/>
      <c r="P21" s="270"/>
      <c r="Q21" s="270"/>
      <c r="R21" s="270"/>
      <c r="S21" s="270"/>
      <c r="T21" s="270"/>
      <c r="U21" s="270"/>
      <c r="V21" s="270"/>
      <c r="W21" s="270"/>
      <c r="X21" s="270"/>
      <c r="Y21" s="270"/>
      <c r="Z21" s="270"/>
      <c r="AA21" s="270"/>
      <c r="AB21" s="270"/>
      <c r="AC21" s="270"/>
      <c r="AD21" s="270"/>
      <c r="AE21" s="270"/>
      <c r="AF21" s="270"/>
      <c r="AG21" s="270"/>
      <c r="AH21" s="270"/>
      <c r="AI21" s="270"/>
      <c r="AJ21" s="270"/>
      <c r="AK21" s="270"/>
      <c r="AL21" s="270"/>
      <c r="AM21" s="270"/>
      <c r="AN21" s="270"/>
      <c r="AO21" s="272"/>
    </row>
    <row r="22" spans="6:41" ht="15.6" customHeight="1" x14ac:dyDescent="0.2">
      <c r="F22" s="804"/>
      <c r="G22" s="804"/>
      <c r="H22" s="804"/>
      <c r="I22" s="268">
        <v>11</v>
      </c>
      <c r="J22" s="273" t="s">
        <v>78</v>
      </c>
      <c r="K22" s="270"/>
      <c r="L22" s="270"/>
      <c r="M22" s="270"/>
      <c r="N22" s="270"/>
      <c r="O22" s="270"/>
      <c r="P22" s="270"/>
      <c r="Q22" s="270"/>
      <c r="R22" s="270"/>
      <c r="S22" s="270"/>
      <c r="T22" s="270"/>
      <c r="U22" s="270"/>
      <c r="V22" s="270"/>
      <c r="W22" s="270"/>
      <c r="X22" s="270"/>
      <c r="Y22" s="270"/>
      <c r="Z22" s="270"/>
      <c r="AA22" s="270"/>
      <c r="AB22" s="270"/>
      <c r="AC22" s="270"/>
      <c r="AD22" s="270"/>
      <c r="AE22" s="270"/>
      <c r="AF22" s="270"/>
      <c r="AG22" s="270"/>
      <c r="AH22" s="270"/>
      <c r="AI22" s="270"/>
      <c r="AJ22" s="270"/>
      <c r="AK22" s="270"/>
      <c r="AL22" s="270"/>
      <c r="AM22" s="270"/>
      <c r="AN22" s="270"/>
      <c r="AO22" s="272"/>
    </row>
    <row r="23" spans="6:41" ht="15.6" customHeight="1" x14ac:dyDescent="0.2">
      <c r="F23" s="804"/>
      <c r="G23" s="804"/>
      <c r="H23" s="804"/>
      <c r="I23" s="268">
        <v>12</v>
      </c>
      <c r="J23" s="273" t="s">
        <v>79</v>
      </c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  <c r="V23" s="270"/>
      <c r="W23" s="270"/>
      <c r="X23" s="270"/>
      <c r="Y23" s="270"/>
      <c r="Z23" s="270"/>
      <c r="AA23" s="270"/>
      <c r="AB23" s="270"/>
      <c r="AC23" s="270"/>
      <c r="AD23" s="270"/>
      <c r="AE23" s="270"/>
      <c r="AF23" s="270"/>
      <c r="AG23" s="270"/>
      <c r="AH23" s="270"/>
      <c r="AI23" s="270"/>
      <c r="AJ23" s="270"/>
      <c r="AK23" s="270"/>
      <c r="AL23" s="270"/>
      <c r="AM23" s="270"/>
      <c r="AN23" s="270"/>
      <c r="AO23" s="272"/>
    </row>
  </sheetData>
  <sheetProtection algorithmName="SHA-512" hashValue="OmxqTGVxc33MATWnb6TK1HKBway6gDWDibErCMlHdnX5TB93wKjiBDbs9wlnkX18klMOP9F6TJRdhrnSN53L7w==" saltValue="KFd2W7Gf08UNVaEhb11H5g==" spinCount="100000" sheet="1" objects="1" scenarios="1"/>
  <mergeCells count="14">
    <mergeCell ref="B5:T5"/>
    <mergeCell ref="F12:H12"/>
    <mergeCell ref="F13:H13"/>
    <mergeCell ref="F14:H14"/>
    <mergeCell ref="F15:H15"/>
    <mergeCell ref="F23:H23"/>
    <mergeCell ref="F11:H11"/>
    <mergeCell ref="F17:H17"/>
    <mergeCell ref="F18:H18"/>
    <mergeCell ref="F19:H19"/>
    <mergeCell ref="F20:H20"/>
    <mergeCell ref="F21:H21"/>
    <mergeCell ref="F22:H22"/>
    <mergeCell ref="F16:H16"/>
  </mergeCells>
  <phoneticPr fontId="68" type="noConversion"/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ys1">
    <tabColor theme="0" tint="-0.14999847407452621"/>
  </sheetPr>
  <dimension ref="A1:K820"/>
  <sheetViews>
    <sheetView topLeftCell="A295" workbookViewId="0">
      <selection activeCell="C316" sqref="C316"/>
    </sheetView>
  </sheetViews>
  <sheetFormatPr baseColWidth="10" defaultColWidth="11.42578125" defaultRowHeight="12.75" x14ac:dyDescent="0.2"/>
  <cols>
    <col min="1" max="1" width="11.5703125" style="55" customWidth="1"/>
    <col min="2" max="2" width="47.85546875" style="123" customWidth="1"/>
    <col min="3" max="3" width="45.140625" style="123" customWidth="1"/>
    <col min="4" max="6" width="37" style="123" customWidth="1"/>
    <col min="7" max="7" width="8.85546875" style="123" customWidth="1"/>
    <col min="8" max="8" width="46.42578125" style="136" customWidth="1"/>
  </cols>
  <sheetData>
    <row r="1" spans="1:4" ht="22.5" customHeight="1" x14ac:dyDescent="0.2">
      <c r="A1" s="76" t="s">
        <v>245</v>
      </c>
    </row>
    <row r="3" spans="1:4" x14ac:dyDescent="0.2">
      <c r="A3" s="46" t="s">
        <v>246</v>
      </c>
      <c r="B3" s="56" t="s">
        <v>247</v>
      </c>
    </row>
    <row r="4" spans="1:4" x14ac:dyDescent="0.2">
      <c r="A4" s="46"/>
      <c r="B4" s="56"/>
    </row>
    <row r="5" spans="1:4" ht="17.45" customHeight="1" x14ac:dyDescent="0.2">
      <c r="A5" s="75" t="s">
        <v>248</v>
      </c>
      <c r="B5" s="56"/>
    </row>
    <row r="6" spans="1:4" s="134" customFormat="1" ht="21.6" customHeight="1" thickBot="1" x14ac:dyDescent="0.25">
      <c r="A6" s="256" t="s">
        <v>2</v>
      </c>
      <c r="B6" s="257" t="s">
        <v>249</v>
      </c>
      <c r="C6" s="133"/>
      <c r="D6" s="193" t="s">
        <v>250</v>
      </c>
    </row>
    <row r="7" spans="1:4" ht="18.600000000000001" customHeight="1" thickTop="1" thickBot="1" x14ac:dyDescent="0.25">
      <c r="A7" s="258" t="s">
        <v>3</v>
      </c>
      <c r="B7" s="259" t="s">
        <v>251</v>
      </c>
      <c r="D7" s="135" t="s">
        <v>252</v>
      </c>
    </row>
    <row r="8" spans="1:4" ht="18.600000000000001" customHeight="1" thickTop="1" thickBot="1" x14ac:dyDescent="0.25">
      <c r="A8" s="260" t="s">
        <v>253</v>
      </c>
      <c r="B8" s="261" t="s">
        <v>254</v>
      </c>
      <c r="D8" s="135" t="s">
        <v>255</v>
      </c>
    </row>
    <row r="9" spans="1:4" ht="18.600000000000001" customHeight="1" thickTop="1" thickBot="1" x14ac:dyDescent="0.25">
      <c r="A9" s="262" t="s">
        <v>256</v>
      </c>
      <c r="B9" s="263" t="s">
        <v>63</v>
      </c>
      <c r="D9" s="135" t="s">
        <v>257</v>
      </c>
    </row>
    <row r="10" spans="1:4" ht="18.600000000000001" customHeight="1" thickTop="1" thickBot="1" x14ac:dyDescent="0.25">
      <c r="A10" s="260" t="s">
        <v>258</v>
      </c>
      <c r="B10" s="261" t="s">
        <v>259</v>
      </c>
      <c r="D10" s="135" t="s">
        <v>260</v>
      </c>
    </row>
    <row r="11" spans="1:4" ht="18.600000000000001" customHeight="1" thickTop="1" x14ac:dyDescent="0.2">
      <c r="A11" s="56"/>
      <c r="B11" s="56"/>
    </row>
    <row r="12" spans="1:4" x14ac:dyDescent="0.2">
      <c r="A12" s="11"/>
    </row>
    <row r="13" spans="1:4" ht="25.5" x14ac:dyDescent="0.2">
      <c r="A13" s="57" t="s">
        <v>261</v>
      </c>
      <c r="B13" s="124" t="str">
        <f>IF(D_Debug="ja","Debug",VLOOKUP(Admin_Konfig!$W$3,H_Label!$A$7:$B$10,2,FALSE))</f>
        <v>FR</v>
      </c>
    </row>
    <row r="14" spans="1:4" x14ac:dyDescent="0.2">
      <c r="A14" s="11"/>
    </row>
    <row r="15" spans="1:4" x14ac:dyDescent="0.2">
      <c r="A15" s="46" t="s">
        <v>262</v>
      </c>
      <c r="B15" s="125" t="s">
        <v>263</v>
      </c>
    </row>
    <row r="18" spans="1:10" ht="25.5" x14ac:dyDescent="0.2">
      <c r="A18" s="75" t="s">
        <v>264</v>
      </c>
      <c r="B18" s="56" t="s">
        <v>265</v>
      </c>
      <c r="H18" s="137"/>
      <c r="I18" s="11"/>
      <c r="J18" s="11"/>
    </row>
    <row r="19" spans="1:10" x14ac:dyDescent="0.2">
      <c r="A19" s="11"/>
      <c r="H19" s="137"/>
      <c r="I19" s="11"/>
      <c r="J19" s="11"/>
    </row>
    <row r="20" spans="1:10" x14ac:dyDescent="0.2">
      <c r="A20" s="11"/>
      <c r="H20" s="137"/>
      <c r="I20" s="11"/>
      <c r="J20" s="11"/>
    </row>
    <row r="21" spans="1:10" s="37" customFormat="1" x14ac:dyDescent="0.2">
      <c r="A21" s="126" t="s">
        <v>266</v>
      </c>
      <c r="B21" s="127" t="s">
        <v>267</v>
      </c>
      <c r="C21" s="127" t="s">
        <v>251</v>
      </c>
      <c r="D21" s="127" t="s">
        <v>254</v>
      </c>
      <c r="E21" s="127" t="s">
        <v>63</v>
      </c>
      <c r="F21" s="127" t="s">
        <v>259</v>
      </c>
      <c r="G21" s="127" t="s">
        <v>32</v>
      </c>
      <c r="H21" s="138" t="s">
        <v>268</v>
      </c>
    </row>
    <row r="22" spans="1:10" x14ac:dyDescent="0.2">
      <c r="A22" s="128">
        <v>2</v>
      </c>
      <c r="B22" s="132" t="s">
        <v>269</v>
      </c>
      <c r="C22" s="129"/>
      <c r="D22" s="129"/>
      <c r="E22" s="129"/>
      <c r="F22" s="129"/>
      <c r="G22" s="129"/>
      <c r="H22" s="139"/>
    </row>
    <row r="23" spans="1:10" x14ac:dyDescent="0.2">
      <c r="A23" s="128">
        <v>3</v>
      </c>
      <c r="B23" s="130" t="str">
        <f t="shared" ref="B23:B54" si="0">HLOOKUP($B$13,$C$21:$G$820,A23,FALSE)</f>
        <v>[$-40C]</v>
      </c>
      <c r="C23" s="131" t="s">
        <v>270</v>
      </c>
      <c r="D23" s="131" t="s">
        <v>271</v>
      </c>
      <c r="E23" s="131" t="s">
        <v>272</v>
      </c>
      <c r="F23" s="131" t="s">
        <v>273</v>
      </c>
      <c r="G23" s="131" t="s">
        <v>274</v>
      </c>
      <c r="H23" s="140" t="s">
        <v>275</v>
      </c>
    </row>
    <row r="24" spans="1:10" x14ac:dyDescent="0.2">
      <c r="A24" s="128">
        <v>4</v>
      </c>
      <c r="B24" s="130" t="str">
        <f t="shared" si="0"/>
        <v>[$-40C]</v>
      </c>
      <c r="C24" s="56" t="s">
        <v>274</v>
      </c>
      <c r="D24" s="131" t="s">
        <v>271</v>
      </c>
      <c r="E24" s="131" t="s">
        <v>272</v>
      </c>
      <c r="F24" s="131" t="s">
        <v>273</v>
      </c>
      <c r="G24" s="131" t="s">
        <v>274</v>
      </c>
      <c r="H24" s="136" t="s">
        <v>276</v>
      </c>
    </row>
    <row r="25" spans="1:10" x14ac:dyDescent="0.2">
      <c r="A25" s="128">
        <v>5</v>
      </c>
      <c r="B25" s="130" t="str">
        <f t="shared" si="0"/>
        <v>ASEPP</v>
      </c>
      <c r="C25" s="131" t="s">
        <v>277</v>
      </c>
      <c r="D25" s="130" t="str">
        <f>C25</f>
        <v>SMGV</v>
      </c>
      <c r="E25" s="131" t="s">
        <v>278</v>
      </c>
      <c r="F25" s="130" t="s">
        <v>279</v>
      </c>
      <c r="G25" s="130" t="str">
        <f t="shared" ref="G25:G88" si="1">"L"&amp;ROW()</f>
        <v>L25</v>
      </c>
      <c r="H25" s="140" t="s">
        <v>280</v>
      </c>
    </row>
    <row r="26" spans="1:10" x14ac:dyDescent="0.2">
      <c r="A26" s="128">
        <v>6</v>
      </c>
      <c r="B26" s="130" t="str">
        <f t="shared" si="0"/>
        <v>CCT</v>
      </c>
      <c r="C26" s="131" t="s">
        <v>281</v>
      </c>
      <c r="D26" s="130" t="s">
        <v>282</v>
      </c>
      <c r="E26" s="131" t="s">
        <v>283</v>
      </c>
      <c r="F26" s="130" t="s">
        <v>284</v>
      </c>
      <c r="G26" s="130" t="str">
        <f t="shared" si="1"/>
        <v>L26</v>
      </c>
      <c r="H26" s="140" t="s">
        <v>285</v>
      </c>
    </row>
    <row r="27" spans="1:10" x14ac:dyDescent="0.2">
      <c r="A27" s="128">
        <v>7</v>
      </c>
      <c r="B27" s="130" t="str">
        <f t="shared" si="0"/>
        <v>Contrôle</v>
      </c>
      <c r="C27" s="131" t="s">
        <v>286</v>
      </c>
      <c r="D27" s="130" t="s">
        <v>287</v>
      </c>
      <c r="E27" s="131" t="s">
        <v>288</v>
      </c>
      <c r="F27" s="130" t="s">
        <v>289</v>
      </c>
      <c r="G27" s="56" t="str">
        <f t="shared" si="1"/>
        <v>L27</v>
      </c>
      <c r="H27" s="140" t="s">
        <v>290</v>
      </c>
    </row>
    <row r="28" spans="1:10" x14ac:dyDescent="0.2">
      <c r="A28" s="128">
        <v>8</v>
      </c>
      <c r="B28" s="130">
        <f t="shared" si="0"/>
        <v>0</v>
      </c>
      <c r="C28" s="56"/>
      <c r="D28" s="56"/>
      <c r="E28" s="56"/>
      <c r="F28" s="56"/>
      <c r="G28" s="56" t="str">
        <f t="shared" si="1"/>
        <v>L28</v>
      </c>
      <c r="H28" s="136" t="s">
        <v>292</v>
      </c>
    </row>
    <row r="29" spans="1:10" ht="25.5" x14ac:dyDescent="0.2">
      <c r="A29" s="128">
        <v>9</v>
      </c>
      <c r="B29" s="130" t="str">
        <f t="shared" si="0"/>
        <v>contrôle des heures de travail ASEPP - feuille de base</v>
      </c>
      <c r="C29" s="56" t="s">
        <v>293</v>
      </c>
      <c r="D29" s="56" t="s">
        <v>294</v>
      </c>
      <c r="E29" s="56" t="s">
        <v>608</v>
      </c>
      <c r="F29" s="56" t="s">
        <v>294</v>
      </c>
      <c r="G29" s="123" t="str">
        <f t="shared" si="1"/>
        <v>L29</v>
      </c>
      <c r="H29" s="140"/>
    </row>
    <row r="30" spans="1:10" x14ac:dyDescent="0.2">
      <c r="A30" s="128">
        <v>10</v>
      </c>
      <c r="B30" s="130" t="str">
        <f t="shared" si="0"/>
        <v>.</v>
      </c>
      <c r="C30" s="56" t="s">
        <v>294</v>
      </c>
      <c r="D30" s="123" t="s">
        <v>294</v>
      </c>
      <c r="E30" s="123" t="s">
        <v>294</v>
      </c>
      <c r="F30" s="123" t="s">
        <v>294</v>
      </c>
      <c r="G30" s="123" t="str">
        <f t="shared" si="1"/>
        <v>L30</v>
      </c>
      <c r="H30" s="140"/>
    </row>
    <row r="31" spans="1:10" x14ac:dyDescent="0.2">
      <c r="A31" s="128">
        <v>11</v>
      </c>
      <c r="B31" s="130" t="str">
        <f t="shared" si="0"/>
        <v>Info</v>
      </c>
      <c r="C31" s="56" t="s">
        <v>291</v>
      </c>
      <c r="D31" s="56" t="s">
        <v>291</v>
      </c>
      <c r="E31" s="56" t="s">
        <v>291</v>
      </c>
      <c r="F31" s="56" t="s">
        <v>291</v>
      </c>
      <c r="G31" s="123" t="str">
        <f t="shared" si="1"/>
        <v>L31</v>
      </c>
      <c r="H31" s="140"/>
    </row>
    <row r="32" spans="1:10" x14ac:dyDescent="0.2">
      <c r="A32" s="128">
        <v>12</v>
      </c>
      <c r="B32" s="130" t="str">
        <f t="shared" si="0"/>
        <v>heures année passée</v>
      </c>
      <c r="C32" s="56" t="s">
        <v>578</v>
      </c>
      <c r="D32" s="123" t="s">
        <v>294</v>
      </c>
      <c r="E32" s="123" t="s">
        <v>617</v>
      </c>
      <c r="F32" s="123" t="s">
        <v>294</v>
      </c>
      <c r="G32" s="123" t="str">
        <f t="shared" si="1"/>
        <v>L32</v>
      </c>
      <c r="H32" s="140"/>
    </row>
    <row r="33" spans="1:8" x14ac:dyDescent="0.2">
      <c r="A33" s="128">
        <v>13</v>
      </c>
      <c r="B33" s="130" t="str">
        <f t="shared" si="0"/>
        <v>heures année en cours</v>
      </c>
      <c r="C33" s="56" t="s">
        <v>579</v>
      </c>
      <c r="D33" s="123" t="s">
        <v>294</v>
      </c>
      <c r="E33" s="123" t="s">
        <v>618</v>
      </c>
      <c r="F33" s="123" t="s">
        <v>294</v>
      </c>
      <c r="G33" s="123" t="str">
        <f t="shared" si="1"/>
        <v>L33</v>
      </c>
      <c r="H33" s="140"/>
    </row>
    <row r="34" spans="1:8" x14ac:dyDescent="0.2">
      <c r="A34" s="128">
        <v>14</v>
      </c>
      <c r="B34" s="130" t="str">
        <f t="shared" si="0"/>
        <v>se des vacences</v>
      </c>
      <c r="C34" s="56" t="s">
        <v>311</v>
      </c>
      <c r="D34" s="123" t="s">
        <v>294</v>
      </c>
      <c r="E34" s="123" t="s">
        <v>843</v>
      </c>
      <c r="F34" s="123" t="s">
        <v>294</v>
      </c>
      <c r="G34" s="123" t="str">
        <f t="shared" si="1"/>
        <v>L34</v>
      </c>
      <c r="H34" s="140"/>
    </row>
    <row r="35" spans="1:8" x14ac:dyDescent="0.2">
      <c r="A35" s="128">
        <v>15</v>
      </c>
      <c r="B35" s="130" t="str">
        <f t="shared" si="0"/>
        <v>.</v>
      </c>
      <c r="C35" s="123" t="s">
        <v>294</v>
      </c>
      <c r="D35" s="123" t="s">
        <v>294</v>
      </c>
      <c r="E35" s="123" t="s">
        <v>294</v>
      </c>
      <c r="F35" s="123" t="s">
        <v>294</v>
      </c>
      <c r="G35" s="123" t="str">
        <f t="shared" si="1"/>
        <v>L35</v>
      </c>
      <c r="H35" s="140"/>
    </row>
    <row r="36" spans="1:8" x14ac:dyDescent="0.2">
      <c r="A36" s="128">
        <v>16</v>
      </c>
      <c r="B36" s="130" t="str">
        <f t="shared" si="0"/>
        <v>.</v>
      </c>
      <c r="C36" s="123" t="s">
        <v>294</v>
      </c>
      <c r="D36" s="123" t="s">
        <v>294</v>
      </c>
      <c r="E36" s="123" t="s">
        <v>294</v>
      </c>
      <c r="F36" s="123" t="s">
        <v>294</v>
      </c>
      <c r="G36" s="123" t="str">
        <f t="shared" si="1"/>
        <v>L36</v>
      </c>
      <c r="H36" s="140"/>
    </row>
    <row r="37" spans="1:8" x14ac:dyDescent="0.2">
      <c r="A37" s="128">
        <v>17</v>
      </c>
      <c r="B37" s="130" t="str">
        <f t="shared" si="0"/>
        <v>taux d'occupation réel</v>
      </c>
      <c r="C37" s="56" t="s">
        <v>494</v>
      </c>
      <c r="D37" s="123" t="s">
        <v>294</v>
      </c>
      <c r="E37" s="123" t="s">
        <v>737</v>
      </c>
      <c r="F37" s="123" t="s">
        <v>294</v>
      </c>
      <c r="G37" s="123" t="str">
        <f t="shared" si="1"/>
        <v>L37</v>
      </c>
      <c r="H37" s="140"/>
    </row>
    <row r="38" spans="1:8" x14ac:dyDescent="0.2">
      <c r="A38" s="128">
        <v>18</v>
      </c>
      <c r="B38" s="130" t="str">
        <f t="shared" si="0"/>
        <v>.</v>
      </c>
      <c r="C38" s="123" t="s">
        <v>294</v>
      </c>
      <c r="D38" s="123" t="s">
        <v>294</v>
      </c>
      <c r="E38" s="123" t="s">
        <v>294</v>
      </c>
      <c r="F38" s="123" t="s">
        <v>294</v>
      </c>
      <c r="G38" s="123" t="str">
        <f t="shared" si="1"/>
        <v>L38</v>
      </c>
      <c r="H38" s="140"/>
    </row>
    <row r="39" spans="1:8" x14ac:dyDescent="0.2">
      <c r="A39" s="128">
        <v>19</v>
      </c>
      <c r="B39" s="130" t="str">
        <f t="shared" si="0"/>
        <v>.</v>
      </c>
      <c r="C39" s="123" t="s">
        <v>294</v>
      </c>
      <c r="D39" s="123" t="s">
        <v>294</v>
      </c>
      <c r="E39" s="123" t="s">
        <v>294</v>
      </c>
      <c r="F39" s="123" t="s">
        <v>294</v>
      </c>
      <c r="G39" s="123" t="str">
        <f t="shared" si="1"/>
        <v>L39</v>
      </c>
      <c r="H39" s="140"/>
    </row>
    <row r="40" spans="1:8" x14ac:dyDescent="0.2">
      <c r="A40" s="128">
        <v>20</v>
      </c>
      <c r="B40" s="130" t="str">
        <f t="shared" si="0"/>
        <v>.</v>
      </c>
      <c r="C40" s="56" t="s">
        <v>294</v>
      </c>
      <c r="D40" s="123" t="s">
        <v>294</v>
      </c>
      <c r="E40" s="123" t="s">
        <v>294</v>
      </c>
      <c r="F40" s="123" t="s">
        <v>294</v>
      </c>
      <c r="G40" s="123" t="str">
        <f t="shared" si="1"/>
        <v>L40</v>
      </c>
      <c r="H40" s="140"/>
    </row>
    <row r="41" spans="1:8" x14ac:dyDescent="0.2">
      <c r="A41" s="128">
        <v>21</v>
      </c>
      <c r="B41" s="130" t="str">
        <f t="shared" si="0"/>
        <v>.</v>
      </c>
      <c r="C41" s="56" t="s">
        <v>294</v>
      </c>
      <c r="D41" s="123" t="s">
        <v>294</v>
      </c>
      <c r="E41" s="123" t="s">
        <v>294</v>
      </c>
      <c r="F41" s="123" t="s">
        <v>294</v>
      </c>
      <c r="G41" s="123" t="str">
        <f t="shared" si="1"/>
        <v>L41</v>
      </c>
      <c r="H41" s="140"/>
    </row>
    <row r="42" spans="1:8" x14ac:dyDescent="0.2">
      <c r="A42" s="128">
        <v>22</v>
      </c>
      <c r="B42" s="130" t="str">
        <f t="shared" si="0"/>
        <v>.</v>
      </c>
      <c r="C42" s="56" t="s">
        <v>294</v>
      </c>
      <c r="D42" s="123" t="s">
        <v>294</v>
      </c>
      <c r="E42" s="123" t="s">
        <v>294</v>
      </c>
      <c r="F42" s="123" t="s">
        <v>294</v>
      </c>
      <c r="G42" s="123" t="str">
        <f t="shared" si="1"/>
        <v>L42</v>
      </c>
      <c r="H42" s="140"/>
    </row>
    <row r="43" spans="1:8" x14ac:dyDescent="0.2">
      <c r="A43" s="128">
        <v>23</v>
      </c>
      <c r="B43" s="130" t="str">
        <f t="shared" si="0"/>
        <v>remarques</v>
      </c>
      <c r="C43" s="56" t="s">
        <v>295</v>
      </c>
      <c r="D43" s="123" t="s">
        <v>294</v>
      </c>
      <c r="E43" s="123" t="s">
        <v>623</v>
      </c>
      <c r="F43" s="123" t="s">
        <v>294</v>
      </c>
      <c r="G43" s="123" t="str">
        <f t="shared" si="1"/>
        <v>L43</v>
      </c>
      <c r="H43" s="140"/>
    </row>
    <row r="44" spans="1:8" x14ac:dyDescent="0.2">
      <c r="A44" s="128">
        <v>24</v>
      </c>
      <c r="B44" s="130" t="str">
        <f t="shared" si="0"/>
        <v>visa employé</v>
      </c>
      <c r="C44" s="56" t="s">
        <v>296</v>
      </c>
      <c r="D44" s="123" t="s">
        <v>294</v>
      </c>
      <c r="E44" s="123" t="s">
        <v>624</v>
      </c>
      <c r="F44" s="123" t="s">
        <v>294</v>
      </c>
      <c r="G44" s="123" t="str">
        <f t="shared" si="1"/>
        <v>L44</v>
      </c>
      <c r="H44" s="140"/>
    </row>
    <row r="45" spans="1:8" x14ac:dyDescent="0.2">
      <c r="A45" s="128">
        <v>25</v>
      </c>
      <c r="B45" s="130" t="str">
        <f t="shared" si="0"/>
        <v>visa supérieur hiérarchique</v>
      </c>
      <c r="C45" s="56" t="s">
        <v>297</v>
      </c>
      <c r="D45" s="123" t="s">
        <v>294</v>
      </c>
      <c r="E45" s="123" t="s">
        <v>625</v>
      </c>
      <c r="F45" s="123" t="s">
        <v>294</v>
      </c>
      <c r="G45" s="123" t="str">
        <f t="shared" si="1"/>
        <v>L45</v>
      </c>
      <c r="H45" s="140"/>
    </row>
    <row r="46" spans="1:8" x14ac:dyDescent="0.2">
      <c r="A46" s="128">
        <v>26</v>
      </c>
      <c r="B46" s="130" t="str">
        <f t="shared" si="0"/>
        <v>date</v>
      </c>
      <c r="C46" s="56" t="s">
        <v>125</v>
      </c>
      <c r="D46" s="123" t="s">
        <v>294</v>
      </c>
      <c r="E46" s="123" t="s">
        <v>626</v>
      </c>
      <c r="F46" s="123" t="s">
        <v>294</v>
      </c>
      <c r="G46" s="123" t="str">
        <f t="shared" si="1"/>
        <v>L46</v>
      </c>
      <c r="H46" s="140"/>
    </row>
    <row r="47" spans="1:8" x14ac:dyDescent="0.2">
      <c r="A47" s="128">
        <v>27</v>
      </c>
      <c r="B47" s="130" t="str">
        <f t="shared" si="0"/>
        <v>.</v>
      </c>
      <c r="C47" s="123" t="s">
        <v>294</v>
      </c>
      <c r="D47" s="123" t="s">
        <v>294</v>
      </c>
      <c r="E47" s="123" t="s">
        <v>294</v>
      </c>
      <c r="F47" s="123" t="s">
        <v>294</v>
      </c>
      <c r="G47" s="123" t="str">
        <f t="shared" si="1"/>
        <v>L47</v>
      </c>
      <c r="H47" s="140"/>
    </row>
    <row r="48" spans="1:8" x14ac:dyDescent="0.2">
      <c r="A48" s="128">
        <v>28</v>
      </c>
      <c r="B48" s="130" t="str">
        <f t="shared" si="0"/>
        <v>.</v>
      </c>
      <c r="C48" s="123" t="s">
        <v>294</v>
      </c>
      <c r="D48" s="123" t="s">
        <v>294</v>
      </c>
      <c r="E48" s="123" t="s">
        <v>294</v>
      </c>
      <c r="F48" s="123" t="s">
        <v>294</v>
      </c>
      <c r="G48" s="123" t="str">
        <f t="shared" si="1"/>
        <v>L48</v>
      </c>
      <c r="H48" s="140"/>
    </row>
    <row r="49" spans="1:8" x14ac:dyDescent="0.2">
      <c r="A49" s="128">
        <v>29</v>
      </c>
      <c r="B49" s="130" t="str">
        <f t="shared" si="0"/>
        <v>an</v>
      </c>
      <c r="C49" s="56" t="s">
        <v>1</v>
      </c>
      <c r="E49" s="123" t="s">
        <v>627</v>
      </c>
      <c r="G49" s="123" t="str">
        <f t="shared" si="1"/>
        <v>L49</v>
      </c>
      <c r="H49" s="140"/>
    </row>
    <row r="50" spans="1:8" x14ac:dyDescent="0.2">
      <c r="A50" s="128">
        <v>30</v>
      </c>
      <c r="B50" s="130" t="str">
        <f t="shared" si="0"/>
        <v>mois</v>
      </c>
      <c r="C50" s="56" t="s">
        <v>85</v>
      </c>
      <c r="E50" s="123" t="s">
        <v>628</v>
      </c>
      <c r="G50" s="123" t="str">
        <f t="shared" si="1"/>
        <v>L50</v>
      </c>
      <c r="H50" s="140"/>
    </row>
    <row r="51" spans="1:8" x14ac:dyDescent="0.2">
      <c r="A51" s="128">
        <v>31</v>
      </c>
      <c r="B51" s="130" t="str">
        <f t="shared" si="0"/>
        <v>semaine</v>
      </c>
      <c r="C51" s="56" t="s">
        <v>298</v>
      </c>
      <c r="E51" s="123" t="s">
        <v>629</v>
      </c>
      <c r="G51" s="123" t="str">
        <f t="shared" si="1"/>
        <v>L51</v>
      </c>
      <c r="H51" s="140"/>
    </row>
    <row r="52" spans="1:8" x14ac:dyDescent="0.2">
      <c r="A52" s="128">
        <v>32</v>
      </c>
      <c r="B52" s="130" t="str">
        <f t="shared" si="0"/>
        <v>semaine civile</v>
      </c>
      <c r="C52" s="56" t="s">
        <v>299</v>
      </c>
      <c r="E52" s="123" t="s">
        <v>486</v>
      </c>
      <c r="G52" s="123" t="str">
        <f t="shared" si="1"/>
        <v>L52</v>
      </c>
      <c r="H52" s="140"/>
    </row>
    <row r="53" spans="1:8" x14ac:dyDescent="0.2">
      <c r="A53" s="128">
        <v>33</v>
      </c>
      <c r="B53" s="130" t="str">
        <f t="shared" si="0"/>
        <v>sc</v>
      </c>
      <c r="C53" s="56" t="s">
        <v>300</v>
      </c>
      <c r="E53" s="123" t="s">
        <v>630</v>
      </c>
      <c r="G53" s="123" t="str">
        <f t="shared" si="1"/>
        <v>L53</v>
      </c>
      <c r="H53" s="140"/>
    </row>
    <row r="54" spans="1:8" x14ac:dyDescent="0.2">
      <c r="A54" s="128">
        <v>34</v>
      </c>
      <c r="B54" s="130" t="str">
        <f t="shared" si="0"/>
        <v>jours</v>
      </c>
      <c r="C54" s="56" t="s">
        <v>8</v>
      </c>
      <c r="E54" s="123" t="s">
        <v>631</v>
      </c>
      <c r="G54" s="123" t="str">
        <f t="shared" si="1"/>
        <v>L54</v>
      </c>
      <c r="H54" s="140"/>
    </row>
    <row r="55" spans="1:8" x14ac:dyDescent="0.2">
      <c r="A55" s="128">
        <v>35</v>
      </c>
      <c r="B55" s="130" t="str">
        <f t="shared" ref="B55:B86" si="2">HLOOKUP($B$13,$C$21:$G$820,A55,FALSE)</f>
        <v>jour</v>
      </c>
      <c r="C55" s="56" t="s">
        <v>301</v>
      </c>
      <c r="E55" s="123" t="s">
        <v>632</v>
      </c>
      <c r="G55" s="123" t="str">
        <f t="shared" si="1"/>
        <v>L55</v>
      </c>
      <c r="H55" s="140"/>
    </row>
    <row r="56" spans="1:8" x14ac:dyDescent="0.2">
      <c r="A56" s="128">
        <v>36</v>
      </c>
      <c r="B56" s="130" t="str">
        <f t="shared" si="2"/>
        <v>heures</v>
      </c>
      <c r="C56" s="56" t="s">
        <v>22</v>
      </c>
      <c r="E56" s="123" t="s">
        <v>633</v>
      </c>
      <c r="G56" s="123" t="str">
        <f t="shared" si="1"/>
        <v>L56</v>
      </c>
      <c r="H56" s="140"/>
    </row>
    <row r="57" spans="1:8" x14ac:dyDescent="0.2">
      <c r="A57" s="128">
        <v>37</v>
      </c>
      <c r="B57" s="130" t="str">
        <f t="shared" si="2"/>
        <v>heure</v>
      </c>
      <c r="C57" s="56" t="s">
        <v>302</v>
      </c>
      <c r="E57" s="123" t="s">
        <v>634</v>
      </c>
      <c r="G57" s="123" t="str">
        <f t="shared" si="1"/>
        <v>L57</v>
      </c>
      <c r="H57" s="140"/>
    </row>
    <row r="58" spans="1:8" x14ac:dyDescent="0.2">
      <c r="A58" s="128">
        <v>38</v>
      </c>
      <c r="B58" s="130" t="str">
        <f t="shared" si="2"/>
        <v>h</v>
      </c>
      <c r="C58" s="56" t="s">
        <v>303</v>
      </c>
      <c r="E58" s="123" t="s">
        <v>635</v>
      </c>
      <c r="G58" s="123" t="str">
        <f t="shared" si="1"/>
        <v>L58</v>
      </c>
      <c r="H58" s="140"/>
    </row>
    <row r="59" spans="1:8" x14ac:dyDescent="0.2">
      <c r="A59" s="128">
        <v>39</v>
      </c>
      <c r="B59" s="130">
        <f t="shared" si="2"/>
        <v>0</v>
      </c>
      <c r="C59" s="56"/>
      <c r="G59" s="123" t="str">
        <f t="shared" si="1"/>
        <v>L59</v>
      </c>
      <c r="H59" s="140"/>
    </row>
    <row r="60" spans="1:8" x14ac:dyDescent="0.2">
      <c r="A60" s="128">
        <v>40</v>
      </c>
      <c r="B60" s="130" t="str">
        <f t="shared" si="2"/>
        <v>janvier</v>
      </c>
      <c r="C60" s="56" t="s">
        <v>88</v>
      </c>
      <c r="E60" s="123" t="s">
        <v>636</v>
      </c>
      <c r="G60" s="123" t="str">
        <f t="shared" si="1"/>
        <v>L60</v>
      </c>
      <c r="H60" s="140"/>
    </row>
    <row r="61" spans="1:8" x14ac:dyDescent="0.2">
      <c r="A61" s="128">
        <v>41</v>
      </c>
      <c r="B61" s="130" t="str">
        <f t="shared" si="2"/>
        <v>février</v>
      </c>
      <c r="C61" s="56" t="s">
        <v>90</v>
      </c>
      <c r="E61" s="123" t="s">
        <v>637</v>
      </c>
      <c r="G61" s="123" t="str">
        <f t="shared" si="1"/>
        <v>L61</v>
      </c>
      <c r="H61" s="140"/>
    </row>
    <row r="62" spans="1:8" x14ac:dyDescent="0.2">
      <c r="A62" s="128">
        <v>42</v>
      </c>
      <c r="B62" s="130" t="str">
        <f t="shared" si="2"/>
        <v>mars</v>
      </c>
      <c r="C62" s="56" t="s">
        <v>92</v>
      </c>
      <c r="E62" s="123" t="s">
        <v>638</v>
      </c>
      <c r="G62" s="123" t="str">
        <f t="shared" si="1"/>
        <v>L62</v>
      </c>
      <c r="H62" s="140"/>
    </row>
    <row r="63" spans="1:8" x14ac:dyDescent="0.2">
      <c r="A63" s="128">
        <v>43</v>
      </c>
      <c r="B63" s="130" t="str">
        <f t="shared" si="2"/>
        <v>avril</v>
      </c>
      <c r="C63" s="56" t="s">
        <v>94</v>
      </c>
      <c r="E63" s="123" t="s">
        <v>639</v>
      </c>
      <c r="G63" s="123" t="str">
        <f t="shared" si="1"/>
        <v>L63</v>
      </c>
      <c r="H63" s="140"/>
    </row>
    <row r="64" spans="1:8" x14ac:dyDescent="0.2">
      <c r="A64" s="128">
        <v>44</v>
      </c>
      <c r="B64" s="130" t="str">
        <f t="shared" si="2"/>
        <v>mai</v>
      </c>
      <c r="C64" s="56" t="s">
        <v>72</v>
      </c>
      <c r="E64" s="123" t="s">
        <v>640</v>
      </c>
      <c r="G64" s="123" t="str">
        <f t="shared" si="1"/>
        <v>L64</v>
      </c>
      <c r="H64" s="140"/>
    </row>
    <row r="65" spans="1:8" x14ac:dyDescent="0.2">
      <c r="A65" s="128">
        <v>45</v>
      </c>
      <c r="B65" s="130" t="str">
        <f t="shared" si="2"/>
        <v>juin</v>
      </c>
      <c r="C65" s="56" t="s">
        <v>97</v>
      </c>
      <c r="E65" s="123" t="s">
        <v>641</v>
      </c>
      <c r="G65" s="123" t="str">
        <f t="shared" si="1"/>
        <v>L65</v>
      </c>
      <c r="H65" s="140"/>
    </row>
    <row r="66" spans="1:8" x14ac:dyDescent="0.2">
      <c r="A66" s="128">
        <v>46</v>
      </c>
      <c r="B66" s="130" t="str">
        <f t="shared" si="2"/>
        <v>juillet</v>
      </c>
      <c r="C66" s="56" t="s">
        <v>99</v>
      </c>
      <c r="E66" s="123" t="s">
        <v>642</v>
      </c>
      <c r="G66" s="123" t="str">
        <f t="shared" si="1"/>
        <v>L66</v>
      </c>
      <c r="H66" s="140"/>
    </row>
    <row r="67" spans="1:8" x14ac:dyDescent="0.2">
      <c r="A67" s="128">
        <v>47</v>
      </c>
      <c r="B67" s="130" t="str">
        <f t="shared" si="2"/>
        <v>août</v>
      </c>
      <c r="C67" s="56" t="s">
        <v>101</v>
      </c>
      <c r="E67" s="123" t="s">
        <v>643</v>
      </c>
      <c r="G67" s="123" t="str">
        <f t="shared" si="1"/>
        <v>L67</v>
      </c>
      <c r="H67" s="140"/>
    </row>
    <row r="68" spans="1:8" x14ac:dyDescent="0.2">
      <c r="A68" s="128">
        <v>48</v>
      </c>
      <c r="B68" s="130" t="str">
        <f t="shared" si="2"/>
        <v>septembre</v>
      </c>
      <c r="C68" s="56" t="s">
        <v>103</v>
      </c>
      <c r="E68" s="123" t="s">
        <v>644</v>
      </c>
      <c r="G68" s="123" t="str">
        <f t="shared" si="1"/>
        <v>L68</v>
      </c>
      <c r="H68" s="140"/>
    </row>
    <row r="69" spans="1:8" x14ac:dyDescent="0.2">
      <c r="A69" s="128">
        <v>49</v>
      </c>
      <c r="B69" s="130" t="str">
        <f t="shared" si="2"/>
        <v>octobre</v>
      </c>
      <c r="C69" s="56" t="s">
        <v>105</v>
      </c>
      <c r="E69" s="123" t="s">
        <v>645</v>
      </c>
      <c r="G69" s="123" t="str">
        <f t="shared" si="1"/>
        <v>L69</v>
      </c>
      <c r="H69" s="140"/>
    </row>
    <row r="70" spans="1:8" x14ac:dyDescent="0.2">
      <c r="A70" s="128">
        <v>50</v>
      </c>
      <c r="B70" s="130" t="str">
        <f t="shared" si="2"/>
        <v>novembre</v>
      </c>
      <c r="C70" s="56" t="s">
        <v>107</v>
      </c>
      <c r="E70" s="123" t="s">
        <v>646</v>
      </c>
      <c r="G70" s="123" t="str">
        <f t="shared" si="1"/>
        <v>L70</v>
      </c>
      <c r="H70" s="140"/>
    </row>
    <row r="71" spans="1:8" x14ac:dyDescent="0.2">
      <c r="A71" s="128">
        <v>51</v>
      </c>
      <c r="B71" s="130" t="str">
        <f t="shared" si="2"/>
        <v>décembre</v>
      </c>
      <c r="C71" s="56" t="s">
        <v>109</v>
      </c>
      <c r="E71" s="123" t="s">
        <v>647</v>
      </c>
      <c r="G71" s="123" t="str">
        <f t="shared" si="1"/>
        <v>L71</v>
      </c>
      <c r="H71" s="140"/>
    </row>
    <row r="72" spans="1:8" x14ac:dyDescent="0.2">
      <c r="A72" s="128">
        <v>52</v>
      </c>
      <c r="B72" s="130" t="str">
        <f t="shared" si="2"/>
        <v>jan</v>
      </c>
      <c r="C72" s="56" t="s">
        <v>68</v>
      </c>
      <c r="E72" s="123" t="s">
        <v>648</v>
      </c>
      <c r="G72" s="123" t="str">
        <f t="shared" si="1"/>
        <v>L72</v>
      </c>
      <c r="H72" s="140"/>
    </row>
    <row r="73" spans="1:8" x14ac:dyDescent="0.2">
      <c r="A73" s="128">
        <v>53</v>
      </c>
      <c r="B73" s="130" t="str">
        <f t="shared" si="2"/>
        <v>fév</v>
      </c>
      <c r="C73" s="56" t="s">
        <v>69</v>
      </c>
      <c r="E73" s="123" t="s">
        <v>649</v>
      </c>
      <c r="G73" s="123" t="str">
        <f t="shared" si="1"/>
        <v>L73</v>
      </c>
      <c r="H73" s="140"/>
    </row>
    <row r="74" spans="1:8" x14ac:dyDescent="0.2">
      <c r="A74" s="128">
        <v>54</v>
      </c>
      <c r="B74" s="130" t="str">
        <f t="shared" si="2"/>
        <v>mar</v>
      </c>
      <c r="C74" s="56" t="s">
        <v>70</v>
      </c>
      <c r="E74" s="123" t="s">
        <v>650</v>
      </c>
      <c r="G74" s="123" t="str">
        <f t="shared" si="1"/>
        <v>L74</v>
      </c>
      <c r="H74" s="140"/>
    </row>
    <row r="75" spans="1:8" x14ac:dyDescent="0.2">
      <c r="A75" s="128">
        <v>55</v>
      </c>
      <c r="B75" s="130" t="str">
        <f t="shared" si="2"/>
        <v>avr</v>
      </c>
      <c r="C75" s="56" t="s">
        <v>71</v>
      </c>
      <c r="E75" s="123" t="s">
        <v>651</v>
      </c>
      <c r="G75" s="123" t="str">
        <f t="shared" si="1"/>
        <v>L75</v>
      </c>
      <c r="H75" s="140"/>
    </row>
    <row r="76" spans="1:8" x14ac:dyDescent="0.2">
      <c r="A76" s="128">
        <v>56</v>
      </c>
      <c r="B76" s="130" t="str">
        <f t="shared" si="2"/>
        <v>mai</v>
      </c>
      <c r="C76" s="56" t="s">
        <v>72</v>
      </c>
      <c r="E76" s="123" t="s">
        <v>640</v>
      </c>
      <c r="G76" s="123" t="str">
        <f t="shared" si="1"/>
        <v>L76</v>
      </c>
      <c r="H76" s="140"/>
    </row>
    <row r="77" spans="1:8" x14ac:dyDescent="0.2">
      <c r="A77" s="128">
        <v>57</v>
      </c>
      <c r="B77" s="130" t="str">
        <f t="shared" si="2"/>
        <v>jun</v>
      </c>
      <c r="C77" s="56" t="s">
        <v>73</v>
      </c>
      <c r="E77" s="123" t="s">
        <v>652</v>
      </c>
      <c r="G77" s="123" t="str">
        <f t="shared" si="1"/>
        <v>L77</v>
      </c>
      <c r="H77" s="140"/>
    </row>
    <row r="78" spans="1:8" x14ac:dyDescent="0.2">
      <c r="A78" s="128">
        <v>58</v>
      </c>
      <c r="B78" s="130" t="str">
        <f t="shared" si="2"/>
        <v>jul</v>
      </c>
      <c r="C78" s="56" t="s">
        <v>74</v>
      </c>
      <c r="D78" s="123" t="s">
        <v>294</v>
      </c>
      <c r="E78" s="123" t="s">
        <v>653</v>
      </c>
      <c r="F78" s="123" t="s">
        <v>294</v>
      </c>
      <c r="G78" s="123" t="str">
        <f t="shared" si="1"/>
        <v>L78</v>
      </c>
      <c r="H78" s="140"/>
    </row>
    <row r="79" spans="1:8" x14ac:dyDescent="0.2">
      <c r="A79" s="128">
        <v>59</v>
      </c>
      <c r="B79" s="130" t="str">
        <f t="shared" si="2"/>
        <v>aoû</v>
      </c>
      <c r="C79" s="56" t="s">
        <v>75</v>
      </c>
      <c r="D79" s="123" t="s">
        <v>294</v>
      </c>
      <c r="E79" s="123" t="s">
        <v>654</v>
      </c>
      <c r="F79" s="123" t="s">
        <v>294</v>
      </c>
      <c r="G79" s="123" t="str">
        <f t="shared" si="1"/>
        <v>L79</v>
      </c>
      <c r="H79" s="140"/>
    </row>
    <row r="80" spans="1:8" x14ac:dyDescent="0.2">
      <c r="A80" s="128">
        <v>60</v>
      </c>
      <c r="B80" s="130" t="str">
        <f t="shared" si="2"/>
        <v>sep</v>
      </c>
      <c r="C80" s="56" t="s">
        <v>76</v>
      </c>
      <c r="D80" s="123" t="s">
        <v>294</v>
      </c>
      <c r="E80" s="123" t="s">
        <v>655</v>
      </c>
      <c r="F80" s="123" t="s">
        <v>294</v>
      </c>
      <c r="G80" s="123" t="str">
        <f t="shared" si="1"/>
        <v>L80</v>
      </c>
      <c r="H80" s="140"/>
    </row>
    <row r="81" spans="1:8" x14ac:dyDescent="0.2">
      <c r="A81" s="128">
        <v>61</v>
      </c>
      <c r="B81" s="130" t="str">
        <f t="shared" si="2"/>
        <v>oct</v>
      </c>
      <c r="C81" s="56" t="s">
        <v>77</v>
      </c>
      <c r="D81" s="123" t="s">
        <v>294</v>
      </c>
      <c r="E81" s="123" t="s">
        <v>656</v>
      </c>
      <c r="F81" s="123" t="s">
        <v>294</v>
      </c>
      <c r="G81" s="123" t="str">
        <f t="shared" si="1"/>
        <v>L81</v>
      </c>
      <c r="H81" s="140"/>
    </row>
    <row r="82" spans="1:8" x14ac:dyDescent="0.2">
      <c r="A82" s="128">
        <v>62</v>
      </c>
      <c r="B82" s="130" t="str">
        <f t="shared" si="2"/>
        <v>nov</v>
      </c>
      <c r="C82" s="56" t="s">
        <v>78</v>
      </c>
      <c r="D82" s="123" t="s">
        <v>294</v>
      </c>
      <c r="E82" s="123" t="s">
        <v>657</v>
      </c>
      <c r="F82" s="123" t="s">
        <v>294</v>
      </c>
      <c r="G82" s="123" t="str">
        <f t="shared" si="1"/>
        <v>L82</v>
      </c>
      <c r="H82" s="140"/>
    </row>
    <row r="83" spans="1:8" x14ac:dyDescent="0.2">
      <c r="A83" s="128">
        <v>63</v>
      </c>
      <c r="B83" s="130" t="str">
        <f t="shared" si="2"/>
        <v>déc</v>
      </c>
      <c r="C83" s="56" t="s">
        <v>79</v>
      </c>
      <c r="D83" s="123" t="s">
        <v>294</v>
      </c>
      <c r="E83" s="123" t="s">
        <v>658</v>
      </c>
      <c r="F83" s="123" t="s">
        <v>294</v>
      </c>
      <c r="G83" s="123" t="str">
        <f t="shared" si="1"/>
        <v>L83</v>
      </c>
      <c r="H83" s="140"/>
    </row>
    <row r="84" spans="1:8" x14ac:dyDescent="0.2">
      <c r="A84" s="128">
        <v>64</v>
      </c>
      <c r="B84" s="130" t="str">
        <f t="shared" si="2"/>
        <v>.</v>
      </c>
      <c r="C84" s="123" t="s">
        <v>294</v>
      </c>
      <c r="D84" s="123" t="s">
        <v>294</v>
      </c>
      <c r="E84" s="123" t="s">
        <v>294</v>
      </c>
      <c r="F84" s="123" t="s">
        <v>294</v>
      </c>
      <c r="G84" s="123" t="str">
        <f t="shared" si="1"/>
        <v>L84</v>
      </c>
      <c r="H84" s="140"/>
    </row>
    <row r="85" spans="1:8" x14ac:dyDescent="0.2">
      <c r="A85" s="128">
        <v>65</v>
      </c>
      <c r="B85" s="130" t="str">
        <f t="shared" si="2"/>
        <v>jour</v>
      </c>
      <c r="C85" s="123" t="s">
        <v>301</v>
      </c>
      <c r="D85" s="123" t="s">
        <v>294</v>
      </c>
      <c r="E85" s="123" t="s">
        <v>632</v>
      </c>
      <c r="F85" s="123" t="s">
        <v>294</v>
      </c>
      <c r="G85" s="123" t="str">
        <f t="shared" si="1"/>
        <v>L85</v>
      </c>
      <c r="H85" s="140"/>
    </row>
    <row r="86" spans="1:8" x14ac:dyDescent="0.2">
      <c r="A86" s="128">
        <v>66</v>
      </c>
      <c r="B86" s="130" t="str">
        <f t="shared" si="2"/>
        <v>lun</v>
      </c>
      <c r="C86" s="123" t="s">
        <v>59</v>
      </c>
      <c r="D86" s="123" t="s">
        <v>294</v>
      </c>
      <c r="E86" s="123" t="s">
        <v>659</v>
      </c>
      <c r="F86" s="123" t="s">
        <v>294</v>
      </c>
      <c r="G86" s="123" t="str">
        <f t="shared" si="1"/>
        <v>L86</v>
      </c>
      <c r="H86" s="140"/>
    </row>
    <row r="87" spans="1:8" x14ac:dyDescent="0.2">
      <c r="A87" s="128">
        <v>67</v>
      </c>
      <c r="B87" s="130" t="str">
        <f t="shared" ref="B87:B118" si="3">HLOOKUP($B$13,$C$21:$G$820,A87,FALSE)</f>
        <v>mar</v>
      </c>
      <c r="C87" s="123" t="s">
        <v>60</v>
      </c>
      <c r="D87" s="123" t="s">
        <v>294</v>
      </c>
      <c r="E87" s="123" t="s">
        <v>650</v>
      </c>
      <c r="F87" s="123" t="s">
        <v>294</v>
      </c>
      <c r="G87" s="123" t="str">
        <f t="shared" si="1"/>
        <v>L87</v>
      </c>
      <c r="H87" s="140"/>
    </row>
    <row r="88" spans="1:8" x14ac:dyDescent="0.2">
      <c r="A88" s="128">
        <v>68</v>
      </c>
      <c r="B88" s="130" t="str">
        <f t="shared" si="3"/>
        <v>mer</v>
      </c>
      <c r="C88" s="123" t="s">
        <v>61</v>
      </c>
      <c r="D88" s="123" t="s">
        <v>294</v>
      </c>
      <c r="E88" s="123" t="s">
        <v>660</v>
      </c>
      <c r="F88" s="123" t="s">
        <v>294</v>
      </c>
      <c r="G88" s="123" t="str">
        <f t="shared" si="1"/>
        <v>L88</v>
      </c>
      <c r="H88" s="140"/>
    </row>
    <row r="89" spans="1:8" x14ac:dyDescent="0.2">
      <c r="A89" s="128">
        <v>69</v>
      </c>
      <c r="B89" s="130" t="str">
        <f t="shared" si="3"/>
        <v>jeu</v>
      </c>
      <c r="C89" s="56" t="s">
        <v>62</v>
      </c>
      <c r="D89" s="123" t="s">
        <v>294</v>
      </c>
      <c r="E89" s="123" t="s">
        <v>661</v>
      </c>
      <c r="F89" s="123" t="s">
        <v>294</v>
      </c>
      <c r="G89" s="123" t="str">
        <f t="shared" ref="G89:G152" si="4">"L"&amp;ROW()</f>
        <v>L89</v>
      </c>
      <c r="H89" s="140"/>
    </row>
    <row r="90" spans="1:8" x14ac:dyDescent="0.2">
      <c r="A90" s="128">
        <v>70</v>
      </c>
      <c r="B90" s="130" t="str">
        <f t="shared" si="3"/>
        <v>ven</v>
      </c>
      <c r="C90" s="123" t="s">
        <v>63</v>
      </c>
      <c r="D90" s="123" t="s">
        <v>294</v>
      </c>
      <c r="E90" s="123" t="s">
        <v>662</v>
      </c>
      <c r="F90" s="123" t="s">
        <v>294</v>
      </c>
      <c r="G90" s="123" t="str">
        <f t="shared" si="4"/>
        <v>L90</v>
      </c>
      <c r="H90" s="140"/>
    </row>
    <row r="91" spans="1:8" x14ac:dyDescent="0.2">
      <c r="A91" s="128">
        <v>71</v>
      </c>
      <c r="B91" s="130" t="str">
        <f t="shared" si="3"/>
        <v>sam</v>
      </c>
      <c r="C91" s="123" t="s">
        <v>574</v>
      </c>
      <c r="D91" s="123" t="s">
        <v>294</v>
      </c>
      <c r="E91" s="123" t="s">
        <v>663</v>
      </c>
      <c r="F91" s="123" t="s">
        <v>294</v>
      </c>
      <c r="G91" s="123" t="str">
        <f t="shared" si="4"/>
        <v>L91</v>
      </c>
      <c r="H91" s="140"/>
    </row>
    <row r="92" spans="1:8" x14ac:dyDescent="0.2">
      <c r="A92" s="128">
        <v>72</v>
      </c>
      <c r="B92" s="130" t="str">
        <f t="shared" si="3"/>
        <v>dim</v>
      </c>
      <c r="C92" s="123" t="s">
        <v>575</v>
      </c>
      <c r="D92" s="123" t="s">
        <v>294</v>
      </c>
      <c r="E92" s="123" t="s">
        <v>664</v>
      </c>
      <c r="F92" s="123" t="s">
        <v>294</v>
      </c>
      <c r="G92" s="123" t="str">
        <f t="shared" si="4"/>
        <v>L92</v>
      </c>
      <c r="H92" s="140"/>
    </row>
    <row r="93" spans="1:8" x14ac:dyDescent="0.2">
      <c r="A93" s="128">
        <v>73</v>
      </c>
      <c r="B93" s="130" t="str">
        <f t="shared" si="3"/>
        <v>.</v>
      </c>
      <c r="C93" s="123" t="s">
        <v>294</v>
      </c>
      <c r="D93" s="123" t="s">
        <v>294</v>
      </c>
      <c r="E93" s="123" t="s">
        <v>294</v>
      </c>
      <c r="F93" s="123" t="s">
        <v>294</v>
      </c>
      <c r="G93" s="123" t="str">
        <f t="shared" si="4"/>
        <v>L93</v>
      </c>
      <c r="H93" s="140"/>
    </row>
    <row r="94" spans="1:8" x14ac:dyDescent="0.2">
      <c r="A94" s="128">
        <v>74</v>
      </c>
      <c r="B94" s="130" t="str">
        <f t="shared" si="3"/>
        <v>.</v>
      </c>
      <c r="C94" s="123" t="s">
        <v>294</v>
      </c>
      <c r="D94" s="123" t="s">
        <v>294</v>
      </c>
      <c r="E94" s="123" t="s">
        <v>294</v>
      </c>
      <c r="F94" s="123" t="s">
        <v>294</v>
      </c>
      <c r="G94" s="123" t="str">
        <f t="shared" si="4"/>
        <v>L94</v>
      </c>
      <c r="H94" s="140"/>
    </row>
    <row r="95" spans="1:8" x14ac:dyDescent="0.2">
      <c r="A95" s="128">
        <v>75</v>
      </c>
      <c r="B95" s="130" t="str">
        <f t="shared" si="3"/>
        <v>calendrier des jours fériés</v>
      </c>
      <c r="C95" s="56" t="s">
        <v>304</v>
      </c>
      <c r="D95" s="123" t="s">
        <v>294</v>
      </c>
      <c r="E95" s="123" t="s">
        <v>665</v>
      </c>
      <c r="F95" s="123" t="s">
        <v>294</v>
      </c>
      <c r="G95" s="123" t="str">
        <f t="shared" si="4"/>
        <v>L95</v>
      </c>
      <c r="H95" s="140"/>
    </row>
    <row r="96" spans="1:8" x14ac:dyDescent="0.2">
      <c r="A96" s="128">
        <v>76</v>
      </c>
      <c r="B96" s="130" t="str">
        <f t="shared" si="3"/>
        <v>veuillez cocher les jours fériés avec "x"</v>
      </c>
      <c r="C96" s="56" t="s">
        <v>305</v>
      </c>
      <c r="D96" s="123" t="s">
        <v>294</v>
      </c>
      <c r="E96" s="123" t="s">
        <v>666</v>
      </c>
      <c r="F96" s="123" t="s">
        <v>294</v>
      </c>
      <c r="G96" s="123" t="str">
        <f t="shared" si="4"/>
        <v>L96</v>
      </c>
      <c r="H96" s="140"/>
    </row>
    <row r="97" spans="1:8" x14ac:dyDescent="0.2">
      <c r="A97" s="128">
        <v>77</v>
      </c>
      <c r="B97" s="130" t="str">
        <f t="shared" si="3"/>
        <v>.</v>
      </c>
      <c r="C97" s="123" t="s">
        <v>294</v>
      </c>
      <c r="D97" s="123" t="s">
        <v>294</v>
      </c>
      <c r="E97" s="123" t="s">
        <v>294</v>
      </c>
      <c r="F97" s="123" t="s">
        <v>294</v>
      </c>
      <c r="G97" s="123" t="str">
        <f t="shared" si="4"/>
        <v>L97</v>
      </c>
      <c r="H97" s="140"/>
    </row>
    <row r="98" spans="1:8" x14ac:dyDescent="0.2">
      <c r="A98" s="128">
        <v>78</v>
      </c>
      <c r="B98" s="130" t="str">
        <f t="shared" si="3"/>
        <v>.</v>
      </c>
      <c r="C98" s="123" t="s">
        <v>294</v>
      </c>
      <c r="D98" s="123" t="s">
        <v>294</v>
      </c>
      <c r="E98" s="123" t="s">
        <v>294</v>
      </c>
      <c r="F98" s="123" t="s">
        <v>294</v>
      </c>
      <c r="G98" s="123" t="str">
        <f t="shared" si="4"/>
        <v>L98</v>
      </c>
      <c r="H98" s="140"/>
    </row>
    <row r="99" spans="1:8" x14ac:dyDescent="0.2">
      <c r="A99" s="128">
        <v>79</v>
      </c>
      <c r="B99" s="130" t="str">
        <f t="shared" si="3"/>
        <v>.</v>
      </c>
      <c r="C99" s="123" t="s">
        <v>294</v>
      </c>
      <c r="D99" s="123" t="s">
        <v>294</v>
      </c>
      <c r="E99" s="123" t="s">
        <v>294</v>
      </c>
      <c r="F99" s="123" t="s">
        <v>294</v>
      </c>
      <c r="G99" s="123" t="str">
        <f t="shared" si="4"/>
        <v>L99</v>
      </c>
      <c r="H99" s="140"/>
    </row>
    <row r="100" spans="1:8" x14ac:dyDescent="0.2">
      <c r="A100" s="128">
        <v>80</v>
      </c>
      <c r="B100" s="130" t="str">
        <f t="shared" si="3"/>
        <v>entreprise</v>
      </c>
      <c r="C100" s="56" t="s">
        <v>306</v>
      </c>
      <c r="D100" s="123" t="s">
        <v>294</v>
      </c>
      <c r="E100" s="123" t="s">
        <v>609</v>
      </c>
      <c r="F100" s="123" t="s">
        <v>294</v>
      </c>
      <c r="G100" s="123" t="str">
        <f t="shared" si="4"/>
        <v>L100</v>
      </c>
      <c r="H100" s="140"/>
    </row>
    <row r="101" spans="1:8" x14ac:dyDescent="0.2">
      <c r="A101" s="128">
        <v>81</v>
      </c>
      <c r="B101" s="130" t="str">
        <f t="shared" si="3"/>
        <v>employé</v>
      </c>
      <c r="C101" s="56" t="s">
        <v>307</v>
      </c>
      <c r="D101" s="123" t="s">
        <v>294</v>
      </c>
      <c r="E101" s="123" t="s">
        <v>610</v>
      </c>
      <c r="F101" s="123" t="s">
        <v>294</v>
      </c>
      <c r="G101" s="123" t="str">
        <f t="shared" si="4"/>
        <v>L101</v>
      </c>
      <c r="H101" s="140"/>
    </row>
    <row r="102" spans="1:8" x14ac:dyDescent="0.2">
      <c r="A102" s="128">
        <v>82</v>
      </c>
      <c r="B102" s="130" t="str">
        <f t="shared" si="3"/>
        <v>année passée (report)</v>
      </c>
      <c r="C102" s="56" t="s">
        <v>308</v>
      </c>
      <c r="D102" s="123" t="s">
        <v>294</v>
      </c>
      <c r="E102" s="123" t="s">
        <v>619</v>
      </c>
      <c r="F102" s="123" t="s">
        <v>294</v>
      </c>
      <c r="G102" s="123" t="str">
        <f t="shared" si="4"/>
        <v>L102</v>
      </c>
      <c r="H102" s="140"/>
    </row>
    <row r="103" spans="1:8" x14ac:dyDescent="0.2">
      <c r="A103" s="128">
        <v>83</v>
      </c>
      <c r="B103" s="130" t="str">
        <f t="shared" si="3"/>
        <v>année en cours</v>
      </c>
      <c r="C103" s="56" t="s">
        <v>309</v>
      </c>
      <c r="D103" s="123" t="s">
        <v>294</v>
      </c>
      <c r="E103" s="123" t="s">
        <v>620</v>
      </c>
      <c r="F103" s="123" t="s">
        <v>294</v>
      </c>
      <c r="G103" s="123" t="str">
        <f t="shared" si="4"/>
        <v>L103</v>
      </c>
      <c r="H103" s="140"/>
    </row>
    <row r="104" spans="1:8" x14ac:dyDescent="0.2">
      <c r="A104" s="128">
        <v>84</v>
      </c>
      <c r="B104" s="130" t="str">
        <f t="shared" si="3"/>
        <v>se des heures</v>
      </c>
      <c r="C104" s="56" t="s">
        <v>310</v>
      </c>
      <c r="D104" s="123" t="s">
        <v>294</v>
      </c>
      <c r="E104" s="123" t="s">
        <v>844</v>
      </c>
      <c r="F104" s="123" t="s">
        <v>294</v>
      </c>
      <c r="G104" s="123" t="str">
        <f t="shared" si="4"/>
        <v>L104</v>
      </c>
      <c r="H104" s="140"/>
    </row>
    <row r="105" spans="1:8" x14ac:dyDescent="0.2">
      <c r="A105" s="128">
        <v>85</v>
      </c>
      <c r="B105" s="130" t="str">
        <f t="shared" si="3"/>
        <v>vacances</v>
      </c>
      <c r="C105" s="56" t="s">
        <v>164</v>
      </c>
      <c r="D105" s="123" t="s">
        <v>294</v>
      </c>
      <c r="E105" s="123" t="s">
        <v>621</v>
      </c>
      <c r="F105" s="123" t="s">
        <v>294</v>
      </c>
      <c r="G105" s="123" t="str">
        <f t="shared" si="4"/>
        <v>L105</v>
      </c>
      <c r="H105" s="140"/>
    </row>
    <row r="106" spans="1:8" x14ac:dyDescent="0.2">
      <c r="A106" s="128">
        <v>86</v>
      </c>
      <c r="B106" s="130" t="str">
        <f t="shared" si="3"/>
        <v>se des vacences</v>
      </c>
      <c r="C106" s="56" t="s">
        <v>311</v>
      </c>
      <c r="D106" s="123" t="s">
        <v>294</v>
      </c>
      <c r="E106" s="123" t="s">
        <v>843</v>
      </c>
      <c r="F106" s="123" t="s">
        <v>294</v>
      </c>
      <c r="G106" s="123" t="str">
        <f t="shared" si="4"/>
        <v>L106</v>
      </c>
      <c r="H106" s="140"/>
    </row>
    <row r="107" spans="1:8" x14ac:dyDescent="0.2">
      <c r="A107" s="128">
        <v>87</v>
      </c>
      <c r="B107" s="130" t="str">
        <f t="shared" si="3"/>
        <v>vacances rest.</v>
      </c>
      <c r="C107" s="56" t="s">
        <v>312</v>
      </c>
      <c r="D107" s="123" t="s">
        <v>294</v>
      </c>
      <c r="E107" s="123" t="s">
        <v>674</v>
      </c>
      <c r="F107" s="123" t="s">
        <v>294</v>
      </c>
      <c r="G107" s="123" t="str">
        <f t="shared" si="4"/>
        <v>L107</v>
      </c>
      <c r="H107" s="140"/>
    </row>
    <row r="108" spans="1:8" x14ac:dyDescent="0.2">
      <c r="A108" s="128">
        <v>88</v>
      </c>
      <c r="B108" s="130" t="str">
        <f t="shared" si="3"/>
        <v xml:space="preserve">calcul automatique des vacances </v>
      </c>
      <c r="C108" s="56" t="s">
        <v>493</v>
      </c>
      <c r="D108" s="123" t="s">
        <v>294</v>
      </c>
      <c r="E108" s="123" t="s">
        <v>667</v>
      </c>
      <c r="F108" s="123" t="s">
        <v>294</v>
      </c>
      <c r="G108" s="123" t="str">
        <f t="shared" si="4"/>
        <v>L108</v>
      </c>
      <c r="H108" s="140"/>
    </row>
    <row r="109" spans="1:8" x14ac:dyDescent="0.2">
      <c r="A109" s="128">
        <v>89</v>
      </c>
      <c r="B109" s="130" t="str">
        <f t="shared" si="3"/>
        <v>.</v>
      </c>
      <c r="C109" s="123" t="s">
        <v>294</v>
      </c>
      <c r="D109" s="123" t="s">
        <v>294</v>
      </c>
      <c r="E109" s="123" t="s">
        <v>294</v>
      </c>
      <c r="F109" s="123" t="s">
        <v>294</v>
      </c>
      <c r="G109" s="123" t="str">
        <f t="shared" si="4"/>
        <v>L109</v>
      </c>
      <c r="H109" s="140"/>
    </row>
    <row r="110" spans="1:8" x14ac:dyDescent="0.2">
      <c r="A110" s="128">
        <v>90</v>
      </c>
      <c r="B110" s="130" t="str">
        <f t="shared" si="3"/>
        <v>taux d'occupation (%)</v>
      </c>
      <c r="C110" s="56" t="s">
        <v>313</v>
      </c>
      <c r="D110" s="123" t="s">
        <v>294</v>
      </c>
      <c r="E110" s="123" t="s">
        <v>622</v>
      </c>
      <c r="F110" s="123" t="s">
        <v>294</v>
      </c>
      <c r="G110" s="123" t="str">
        <f t="shared" si="4"/>
        <v>L110</v>
      </c>
      <c r="H110" s="140"/>
    </row>
    <row r="111" spans="1:8" ht="38.25" x14ac:dyDescent="0.2">
      <c r="A111" s="128">
        <v>91</v>
      </c>
      <c r="B111" s="130" t="str">
        <f t="shared" si="3"/>
        <v>Veuillez indiquer le taux d'occupation approprié pour chaque jour de travail | pour les jours non travaillés, indiquez 0</v>
      </c>
      <c r="C111" s="56" t="s">
        <v>314</v>
      </c>
      <c r="D111" s="123" t="s">
        <v>294</v>
      </c>
      <c r="E111" s="123" t="s">
        <v>668</v>
      </c>
      <c r="F111" s="123" t="s">
        <v>294</v>
      </c>
      <c r="G111" s="123" t="str">
        <f t="shared" si="4"/>
        <v>L111</v>
      </c>
      <c r="H111" s="140"/>
    </row>
    <row r="112" spans="1:8" x14ac:dyDescent="0.2">
      <c r="A112" s="128">
        <v>92</v>
      </c>
      <c r="B112" s="130" t="str">
        <f t="shared" si="3"/>
        <v>t.l. mois identiques</v>
      </c>
      <c r="C112" s="56" t="s">
        <v>315</v>
      </c>
      <c r="D112" s="123" t="s">
        <v>294</v>
      </c>
      <c r="E112" s="123" t="s">
        <v>669</v>
      </c>
      <c r="F112" s="123" t="s">
        <v>294</v>
      </c>
      <c r="G112" s="123" t="str">
        <f t="shared" si="4"/>
        <v>L112</v>
      </c>
      <c r="H112" s="140"/>
    </row>
    <row r="113" spans="1:8" x14ac:dyDescent="0.2">
      <c r="A113" s="128">
        <v>93</v>
      </c>
      <c r="B113" s="130" t="str">
        <f t="shared" si="3"/>
        <v>t.l. jours identiques</v>
      </c>
      <c r="C113" s="56" t="s">
        <v>316</v>
      </c>
      <c r="D113" s="123" t="s">
        <v>294</v>
      </c>
      <c r="E113" s="123" t="s">
        <v>670</v>
      </c>
      <c r="F113" s="123" t="s">
        <v>294</v>
      </c>
      <c r="G113" s="123" t="str">
        <f t="shared" si="4"/>
        <v>L113</v>
      </c>
      <c r="H113" s="140"/>
    </row>
    <row r="114" spans="1:8" x14ac:dyDescent="0.2">
      <c r="A114" s="128">
        <v>94</v>
      </c>
      <c r="B114" s="130" t="str">
        <f t="shared" si="3"/>
        <v>aide de la conversion</v>
      </c>
      <c r="C114" s="56" t="s">
        <v>317</v>
      </c>
      <c r="D114" s="123" t="s">
        <v>294</v>
      </c>
      <c r="E114" s="123" t="s">
        <v>671</v>
      </c>
      <c r="F114" s="123" t="s">
        <v>294</v>
      </c>
      <c r="G114" s="123" t="str">
        <f t="shared" si="4"/>
        <v>L114</v>
      </c>
      <c r="H114" s="140"/>
    </row>
    <row r="115" spans="1:8" x14ac:dyDescent="0.2">
      <c r="A115" s="128">
        <v>95</v>
      </c>
      <c r="B115" s="130" t="str">
        <f t="shared" si="3"/>
        <v>.</v>
      </c>
      <c r="C115" s="123" t="s">
        <v>294</v>
      </c>
      <c r="D115" s="123" t="s">
        <v>294</v>
      </c>
      <c r="E115" s="123" t="s">
        <v>294</v>
      </c>
      <c r="F115" s="123" t="s">
        <v>294</v>
      </c>
      <c r="G115" s="123" t="str">
        <f t="shared" si="4"/>
        <v>L115</v>
      </c>
      <c r="H115" s="140"/>
    </row>
    <row r="116" spans="1:8" x14ac:dyDescent="0.2">
      <c r="A116" s="128">
        <v>96</v>
      </c>
      <c r="B116" s="130" t="str">
        <f t="shared" si="3"/>
        <v>.</v>
      </c>
      <c r="C116" s="123" t="s">
        <v>294</v>
      </c>
      <c r="D116" s="123" t="s">
        <v>294</v>
      </c>
      <c r="E116" s="123" t="s">
        <v>294</v>
      </c>
      <c r="F116" s="123" t="s">
        <v>294</v>
      </c>
      <c r="G116" s="123" t="str">
        <f t="shared" si="4"/>
        <v>L116</v>
      </c>
      <c r="H116" s="140"/>
    </row>
    <row r="117" spans="1:8" x14ac:dyDescent="0.2">
      <c r="A117" s="128">
        <v>97</v>
      </c>
      <c r="B117" s="130" t="str">
        <f t="shared" si="3"/>
        <v>oui</v>
      </c>
      <c r="C117" s="56" t="s">
        <v>318</v>
      </c>
      <c r="D117" s="123" t="s">
        <v>294</v>
      </c>
      <c r="E117" s="123" t="s">
        <v>672</v>
      </c>
      <c r="F117" s="123" t="s">
        <v>294</v>
      </c>
      <c r="G117" s="123" t="str">
        <f t="shared" si="4"/>
        <v>L117</v>
      </c>
      <c r="H117" s="140"/>
    </row>
    <row r="118" spans="1:8" x14ac:dyDescent="0.2">
      <c r="A118" s="128">
        <v>98</v>
      </c>
      <c r="B118" s="130" t="str">
        <f t="shared" si="3"/>
        <v>non</v>
      </c>
      <c r="C118" s="56" t="s">
        <v>33</v>
      </c>
      <c r="D118" s="123" t="s">
        <v>294</v>
      </c>
      <c r="E118" s="123" t="s">
        <v>673</v>
      </c>
      <c r="F118" s="123" t="s">
        <v>294</v>
      </c>
      <c r="G118" s="123" t="str">
        <f t="shared" si="4"/>
        <v>L118</v>
      </c>
      <c r="H118" s="140"/>
    </row>
    <row r="119" spans="1:8" x14ac:dyDescent="0.2">
      <c r="A119" s="128">
        <v>99</v>
      </c>
      <c r="B119" s="130" t="str">
        <f t="shared" ref="B119:B150" si="5">HLOOKUP($B$13,$C$21:$G$820,A119,FALSE)</f>
        <v>.</v>
      </c>
      <c r="C119" s="123" t="s">
        <v>294</v>
      </c>
      <c r="D119" s="123" t="s">
        <v>294</v>
      </c>
      <c r="E119" s="123" t="s">
        <v>294</v>
      </c>
      <c r="F119" s="123" t="s">
        <v>294</v>
      </c>
      <c r="G119" s="123" t="str">
        <f t="shared" si="4"/>
        <v>L119</v>
      </c>
      <c r="H119" s="140"/>
    </row>
    <row r="120" spans="1:8" x14ac:dyDescent="0.2">
      <c r="A120" s="128">
        <v>100</v>
      </c>
      <c r="B120" s="130" t="str">
        <f t="shared" si="5"/>
        <v>Ø jours de travail</v>
      </c>
      <c r="C120" s="56" t="s">
        <v>64</v>
      </c>
      <c r="D120" s="123" t="s">
        <v>294</v>
      </c>
      <c r="E120" s="123" t="s">
        <v>679</v>
      </c>
      <c r="F120" s="123" t="s">
        <v>294</v>
      </c>
      <c r="G120" s="123" t="str">
        <f t="shared" si="4"/>
        <v>L120</v>
      </c>
      <c r="H120" s="140"/>
    </row>
    <row r="121" spans="1:8" x14ac:dyDescent="0.2">
      <c r="A121" s="128">
        <v>101</v>
      </c>
      <c r="B121" s="130" t="str">
        <f t="shared" si="5"/>
        <v>Ø h/jour</v>
      </c>
      <c r="C121" s="56" t="s">
        <v>65</v>
      </c>
      <c r="D121" s="123" t="s">
        <v>294</v>
      </c>
      <c r="E121" s="123" t="s">
        <v>678</v>
      </c>
      <c r="F121" s="123" t="s">
        <v>294</v>
      </c>
      <c r="G121" s="123" t="str">
        <f t="shared" si="4"/>
        <v>L121</v>
      </c>
      <c r="H121" s="140"/>
    </row>
    <row r="122" spans="1:8" x14ac:dyDescent="0.2">
      <c r="A122" s="128">
        <v>102</v>
      </c>
      <c r="B122" s="130" t="str">
        <f t="shared" si="5"/>
        <v>t.o. réel</v>
      </c>
      <c r="C122" s="56" t="s">
        <v>66</v>
      </c>
      <c r="D122" s="123" t="s">
        <v>294</v>
      </c>
      <c r="E122" s="123" t="s">
        <v>728</v>
      </c>
      <c r="F122" s="123" t="s">
        <v>294</v>
      </c>
      <c r="G122" s="123" t="str">
        <f t="shared" si="4"/>
        <v>L122</v>
      </c>
      <c r="H122" s="140"/>
    </row>
    <row r="123" spans="1:8" x14ac:dyDescent="0.2">
      <c r="A123" s="128">
        <v>103</v>
      </c>
      <c r="B123" s="130" t="str">
        <f t="shared" si="5"/>
        <v>.</v>
      </c>
      <c r="C123" s="123" t="s">
        <v>294</v>
      </c>
      <c r="D123" s="123" t="s">
        <v>294</v>
      </c>
      <c r="E123" s="123" t="s">
        <v>294</v>
      </c>
      <c r="F123" s="123" t="s">
        <v>294</v>
      </c>
      <c r="G123" s="123" t="str">
        <f t="shared" si="4"/>
        <v>L123</v>
      </c>
      <c r="H123" s="140"/>
    </row>
    <row r="124" spans="1:8" x14ac:dyDescent="0.2">
      <c r="A124" s="128">
        <v>104</v>
      </c>
      <c r="B124" s="130" t="str">
        <f t="shared" si="5"/>
        <v>.</v>
      </c>
      <c r="C124" s="123" t="s">
        <v>294</v>
      </c>
      <c r="D124" s="123" t="s">
        <v>294</v>
      </c>
      <c r="E124" s="123" t="s">
        <v>294</v>
      </c>
      <c r="F124" s="123" t="s">
        <v>294</v>
      </c>
      <c r="G124" s="123" t="str">
        <f t="shared" si="4"/>
        <v>L124</v>
      </c>
      <c r="H124" s="140"/>
    </row>
    <row r="125" spans="1:8" x14ac:dyDescent="0.2">
      <c r="A125" s="128">
        <v>105</v>
      </c>
      <c r="B125" s="130" t="str">
        <f t="shared" si="5"/>
        <v>.</v>
      </c>
      <c r="C125" s="123" t="s">
        <v>294</v>
      </c>
      <c r="D125" s="123" t="s">
        <v>294</v>
      </c>
      <c r="E125" s="123" t="s">
        <v>294</v>
      </c>
      <c r="F125" s="123" t="s">
        <v>294</v>
      </c>
      <c r="G125" s="123" t="str">
        <f t="shared" si="4"/>
        <v>L125</v>
      </c>
      <c r="H125" s="140"/>
    </row>
    <row r="126" spans="1:8" x14ac:dyDescent="0.2">
      <c r="A126" s="128">
        <v>106</v>
      </c>
      <c r="B126" s="130" t="str">
        <f t="shared" si="5"/>
        <v>.</v>
      </c>
      <c r="C126" s="123" t="s">
        <v>294</v>
      </c>
      <c r="D126" s="123" t="s">
        <v>294</v>
      </c>
      <c r="E126" s="123" t="s">
        <v>294</v>
      </c>
      <c r="F126" s="123" t="s">
        <v>294</v>
      </c>
      <c r="G126" s="123" t="str">
        <f t="shared" si="4"/>
        <v>L126</v>
      </c>
      <c r="H126" s="140"/>
    </row>
    <row r="127" spans="1:8" x14ac:dyDescent="0.2">
      <c r="A127" s="128">
        <v>107</v>
      </c>
      <c r="B127" s="130" t="str">
        <f t="shared" si="5"/>
        <v>.</v>
      </c>
      <c r="C127" s="123" t="s">
        <v>294</v>
      </c>
      <c r="D127" s="123" t="s">
        <v>294</v>
      </c>
      <c r="E127" s="123" t="s">
        <v>294</v>
      </c>
      <c r="F127" s="123" t="s">
        <v>294</v>
      </c>
      <c r="G127" s="123" t="str">
        <f t="shared" si="4"/>
        <v>L127</v>
      </c>
      <c r="H127" s="140"/>
    </row>
    <row r="128" spans="1:8" x14ac:dyDescent="0.2">
      <c r="A128" s="128">
        <v>108</v>
      </c>
      <c r="B128" s="130" t="str">
        <f t="shared" si="5"/>
        <v>.</v>
      </c>
      <c r="C128" s="123" t="s">
        <v>294</v>
      </c>
      <c r="D128" s="123" t="s">
        <v>294</v>
      </c>
      <c r="E128" s="123" t="s">
        <v>294</v>
      </c>
      <c r="F128" s="123" t="s">
        <v>294</v>
      </c>
      <c r="G128" s="123" t="str">
        <f t="shared" si="4"/>
        <v>L128</v>
      </c>
      <c r="H128" s="140"/>
    </row>
    <row r="129" spans="1:8" x14ac:dyDescent="0.2">
      <c r="A129" s="128">
        <v>109</v>
      </c>
      <c r="B129" s="130" t="str">
        <f t="shared" si="5"/>
        <v>.</v>
      </c>
      <c r="C129" s="123" t="s">
        <v>294</v>
      </c>
      <c r="D129" s="123" t="s">
        <v>294</v>
      </c>
      <c r="E129" s="123" t="s">
        <v>294</v>
      </c>
      <c r="F129" s="123" t="s">
        <v>294</v>
      </c>
      <c r="G129" s="123" t="str">
        <f t="shared" si="4"/>
        <v>L129</v>
      </c>
      <c r="H129" s="140"/>
    </row>
    <row r="130" spans="1:8" x14ac:dyDescent="0.2">
      <c r="A130" s="128">
        <v>110</v>
      </c>
      <c r="B130" s="130">
        <f t="shared" si="5"/>
        <v>0</v>
      </c>
      <c r="C130" s="123" t="s">
        <v>294</v>
      </c>
      <c r="D130" s="123" t="s">
        <v>294</v>
      </c>
      <c r="F130" s="123" t="s">
        <v>294</v>
      </c>
      <c r="G130" s="123" t="str">
        <f t="shared" si="4"/>
        <v>L130</v>
      </c>
      <c r="H130" s="140"/>
    </row>
    <row r="131" spans="1:8" ht="25.5" x14ac:dyDescent="0.2">
      <c r="A131" s="128">
        <v>111</v>
      </c>
      <c r="B131" s="130" t="str">
        <f t="shared" si="5"/>
        <v>temps
hh:mm</v>
      </c>
      <c r="C131" s="56" t="s">
        <v>319</v>
      </c>
      <c r="D131" s="123" t="s">
        <v>294</v>
      </c>
      <c r="E131" s="123" t="s">
        <v>680</v>
      </c>
      <c r="F131" s="123" t="s">
        <v>294</v>
      </c>
      <c r="G131" s="123" t="str">
        <f t="shared" si="4"/>
        <v>L131</v>
      </c>
      <c r="H131" s="140"/>
    </row>
    <row r="132" spans="1:8" ht="25.5" x14ac:dyDescent="0.2">
      <c r="A132" s="128">
        <v>112</v>
      </c>
      <c r="B132" s="130" t="str">
        <f t="shared" si="5"/>
        <v>temps
dec.</v>
      </c>
      <c r="C132" s="56" t="s">
        <v>320</v>
      </c>
      <c r="D132" s="123" t="s">
        <v>294</v>
      </c>
      <c r="E132" s="123" t="s">
        <v>681</v>
      </c>
      <c r="F132" s="123" t="s">
        <v>294</v>
      </c>
      <c r="G132" s="123" t="str">
        <f t="shared" si="4"/>
        <v>L132</v>
      </c>
      <c r="H132" s="140"/>
    </row>
    <row r="133" spans="1:8" x14ac:dyDescent="0.2">
      <c r="A133" s="128">
        <v>113</v>
      </c>
      <c r="B133" s="130" t="str">
        <f t="shared" si="5"/>
        <v>% p. 8h/jour</v>
      </c>
      <c r="C133" s="123" t="str">
        <f>"% bei "&amp;"8 "&amp;
"Std/Tag"</f>
        <v>% bei 8 Std/Tag</v>
      </c>
      <c r="D133" s="123" t="s">
        <v>294</v>
      </c>
      <c r="E133" s="123" t="s">
        <v>682</v>
      </c>
      <c r="F133" s="123" t="s">
        <v>294</v>
      </c>
      <c r="G133" s="123" t="str">
        <f t="shared" si="4"/>
        <v>L133</v>
      </c>
      <c r="H133" s="140"/>
    </row>
    <row r="134" spans="1:8" x14ac:dyDescent="0.2">
      <c r="A134" s="128">
        <v>114</v>
      </c>
      <c r="B134" s="130" t="str">
        <f t="shared" si="5"/>
        <v>.</v>
      </c>
      <c r="C134" s="123" t="s">
        <v>294</v>
      </c>
      <c r="D134" s="123" t="s">
        <v>294</v>
      </c>
      <c r="E134" s="123" t="s">
        <v>294</v>
      </c>
      <c r="F134" s="123" t="s">
        <v>294</v>
      </c>
      <c r="G134" s="123" t="str">
        <f t="shared" si="4"/>
        <v>L134</v>
      </c>
      <c r="H134" s="140"/>
    </row>
    <row r="135" spans="1:8" x14ac:dyDescent="0.2">
      <c r="A135" s="128">
        <v>115</v>
      </c>
      <c r="B135" s="130" t="str">
        <f t="shared" si="5"/>
        <v>.</v>
      </c>
      <c r="C135" s="123" t="s">
        <v>294</v>
      </c>
      <c r="D135" s="123" t="s">
        <v>294</v>
      </c>
      <c r="E135" s="123" t="s">
        <v>294</v>
      </c>
      <c r="F135" s="123" t="s">
        <v>294</v>
      </c>
      <c r="G135" s="123" t="str">
        <f t="shared" si="4"/>
        <v>L135</v>
      </c>
      <c r="H135" s="140"/>
    </row>
    <row r="136" spans="1:8" x14ac:dyDescent="0.2">
      <c r="A136" s="128">
        <v>116</v>
      </c>
      <c r="B136" s="130" t="str">
        <f t="shared" si="5"/>
        <v>.</v>
      </c>
      <c r="C136" s="123" t="s">
        <v>294</v>
      </c>
      <c r="D136" s="123" t="s">
        <v>294</v>
      </c>
      <c r="E136" s="123" t="s">
        <v>294</v>
      </c>
      <c r="F136" s="123" t="s">
        <v>294</v>
      </c>
      <c r="G136" s="123" t="str">
        <f t="shared" si="4"/>
        <v>L136</v>
      </c>
      <c r="H136" s="140"/>
    </row>
    <row r="137" spans="1:8" x14ac:dyDescent="0.2">
      <c r="A137" s="128">
        <v>117</v>
      </c>
      <c r="B137" s="130" t="str">
        <f t="shared" si="5"/>
        <v>.</v>
      </c>
      <c r="C137" s="123" t="s">
        <v>294</v>
      </c>
      <c r="D137" s="123" t="s">
        <v>294</v>
      </c>
      <c r="E137" s="123" t="s">
        <v>294</v>
      </c>
      <c r="F137" s="123" t="s">
        <v>294</v>
      </c>
      <c r="G137" s="123" t="str">
        <f t="shared" si="4"/>
        <v>L137</v>
      </c>
      <c r="H137" s="140"/>
    </row>
    <row r="138" spans="1:8" x14ac:dyDescent="0.2">
      <c r="A138" s="128">
        <v>118</v>
      </c>
      <c r="B138" s="130" t="str">
        <f t="shared" si="5"/>
        <v>.</v>
      </c>
      <c r="C138" s="123" t="s">
        <v>294</v>
      </c>
      <c r="D138" s="123" t="s">
        <v>294</v>
      </c>
      <c r="E138" s="123" t="s">
        <v>294</v>
      </c>
      <c r="F138" s="123" t="s">
        <v>294</v>
      </c>
      <c r="G138" s="123" t="str">
        <f t="shared" si="4"/>
        <v>L138</v>
      </c>
      <c r="H138" s="140"/>
    </row>
    <row r="139" spans="1:8" x14ac:dyDescent="0.2">
      <c r="A139" s="128">
        <v>119</v>
      </c>
      <c r="B139" s="130" t="str">
        <f t="shared" si="5"/>
        <v>.</v>
      </c>
      <c r="C139" s="123" t="s">
        <v>294</v>
      </c>
      <c r="D139" s="123" t="s">
        <v>294</v>
      </c>
      <c r="E139" s="123" t="s">
        <v>294</v>
      </c>
      <c r="F139" s="123" t="s">
        <v>294</v>
      </c>
      <c r="G139" s="123" t="str">
        <f t="shared" si="4"/>
        <v>L139</v>
      </c>
      <c r="H139" s="140"/>
    </row>
    <row r="140" spans="1:8" x14ac:dyDescent="0.2">
      <c r="A140" s="128">
        <v>120</v>
      </c>
      <c r="B140" s="130" t="str">
        <f t="shared" si="5"/>
        <v>.</v>
      </c>
      <c r="C140" s="123" t="s">
        <v>294</v>
      </c>
      <c r="D140" s="123" t="s">
        <v>294</v>
      </c>
      <c r="E140" s="123" t="s">
        <v>294</v>
      </c>
      <c r="F140" s="123" t="s">
        <v>294</v>
      </c>
      <c r="G140" s="123" t="str">
        <f t="shared" si="4"/>
        <v>L140</v>
      </c>
      <c r="H140" s="140"/>
    </row>
    <row r="141" spans="1:8" x14ac:dyDescent="0.2">
      <c r="A141" s="128">
        <v>121</v>
      </c>
      <c r="B141" s="130" t="str">
        <f t="shared" si="5"/>
        <v>.</v>
      </c>
      <c r="C141" s="123" t="s">
        <v>294</v>
      </c>
      <c r="D141" s="123" t="s">
        <v>294</v>
      </c>
      <c r="E141" s="123" t="s">
        <v>294</v>
      </c>
      <c r="F141" s="123" t="s">
        <v>294</v>
      </c>
      <c r="G141" s="123" t="str">
        <f t="shared" si="4"/>
        <v>L141</v>
      </c>
      <c r="H141" s="140"/>
    </row>
    <row r="142" spans="1:8" x14ac:dyDescent="0.2">
      <c r="A142" s="128">
        <v>122</v>
      </c>
      <c r="B142" s="130" t="str">
        <f t="shared" si="5"/>
        <v>.</v>
      </c>
      <c r="C142" s="123" t="s">
        <v>294</v>
      </c>
      <c r="D142" s="123" t="s">
        <v>294</v>
      </c>
      <c r="E142" s="123" t="s">
        <v>294</v>
      </c>
      <c r="F142" s="123" t="s">
        <v>294</v>
      </c>
      <c r="G142" s="123" t="str">
        <f t="shared" si="4"/>
        <v>L142</v>
      </c>
      <c r="H142" s="140"/>
    </row>
    <row r="143" spans="1:8" x14ac:dyDescent="0.2">
      <c r="A143" s="128">
        <v>123</v>
      </c>
      <c r="B143" s="130" t="str">
        <f t="shared" si="5"/>
        <v>.</v>
      </c>
      <c r="C143" s="123" t="s">
        <v>294</v>
      </c>
      <c r="D143" s="123" t="s">
        <v>294</v>
      </c>
      <c r="E143" s="123" t="s">
        <v>294</v>
      </c>
      <c r="F143" s="123" t="s">
        <v>294</v>
      </c>
      <c r="G143" s="123" t="str">
        <f t="shared" si="4"/>
        <v>L143</v>
      </c>
      <c r="H143" s="140"/>
    </row>
    <row r="144" spans="1:8" x14ac:dyDescent="0.2">
      <c r="A144" s="128">
        <v>124</v>
      </c>
      <c r="B144" s="130" t="str">
        <f t="shared" si="5"/>
        <v>.</v>
      </c>
      <c r="C144" s="123" t="s">
        <v>294</v>
      </c>
      <c r="D144" s="123" t="s">
        <v>294</v>
      </c>
      <c r="E144" s="123" t="s">
        <v>294</v>
      </c>
      <c r="F144" s="123" t="s">
        <v>294</v>
      </c>
      <c r="G144" s="123" t="str">
        <f t="shared" si="4"/>
        <v>L144</v>
      </c>
      <c r="H144" s="140"/>
    </row>
    <row r="145" spans="1:8" x14ac:dyDescent="0.2">
      <c r="A145" s="128">
        <v>125</v>
      </c>
      <c r="B145" s="130" t="str">
        <f t="shared" si="5"/>
        <v>.</v>
      </c>
      <c r="C145" s="123" t="s">
        <v>294</v>
      </c>
      <c r="D145" s="123" t="s">
        <v>294</v>
      </c>
      <c r="E145" s="123" t="s">
        <v>294</v>
      </c>
      <c r="F145" s="123" t="s">
        <v>294</v>
      </c>
      <c r="G145" s="123" t="str">
        <f t="shared" si="4"/>
        <v>L145</v>
      </c>
      <c r="H145" s="140"/>
    </row>
    <row r="146" spans="1:8" x14ac:dyDescent="0.2">
      <c r="A146" s="128">
        <v>126</v>
      </c>
      <c r="B146" s="130" t="str">
        <f t="shared" si="5"/>
        <v>.</v>
      </c>
      <c r="C146" s="123" t="s">
        <v>294</v>
      </c>
      <c r="D146" s="123" t="s">
        <v>294</v>
      </c>
      <c r="E146" s="123" t="s">
        <v>294</v>
      </c>
      <c r="F146" s="123" t="s">
        <v>294</v>
      </c>
      <c r="G146" s="123" t="str">
        <f t="shared" si="4"/>
        <v>L146</v>
      </c>
      <c r="H146" s="140"/>
    </row>
    <row r="147" spans="1:8" x14ac:dyDescent="0.2">
      <c r="A147" s="128">
        <v>127</v>
      </c>
      <c r="B147" s="130" t="str">
        <f t="shared" si="5"/>
        <v>.</v>
      </c>
      <c r="C147" s="123" t="s">
        <v>294</v>
      </c>
      <c r="D147" s="123" t="s">
        <v>294</v>
      </c>
      <c r="E147" s="123" t="s">
        <v>294</v>
      </c>
      <c r="F147" s="123" t="s">
        <v>294</v>
      </c>
      <c r="G147" s="123" t="str">
        <f t="shared" si="4"/>
        <v>L147</v>
      </c>
      <c r="H147" s="140"/>
    </row>
    <row r="148" spans="1:8" x14ac:dyDescent="0.2">
      <c r="A148" s="128">
        <v>128</v>
      </c>
      <c r="B148" s="130" t="str">
        <f t="shared" si="5"/>
        <v>.</v>
      </c>
      <c r="C148" s="123" t="s">
        <v>294</v>
      </c>
      <c r="D148" s="123" t="s">
        <v>294</v>
      </c>
      <c r="E148" s="123" t="s">
        <v>294</v>
      </c>
      <c r="F148" s="123" t="s">
        <v>294</v>
      </c>
      <c r="G148" s="123" t="str">
        <f t="shared" si="4"/>
        <v>L148</v>
      </c>
      <c r="H148" s="140"/>
    </row>
    <row r="149" spans="1:8" x14ac:dyDescent="0.2">
      <c r="A149" s="128">
        <v>129</v>
      </c>
      <c r="B149" s="130" t="str">
        <f t="shared" si="5"/>
        <v>.</v>
      </c>
      <c r="C149" s="123" t="s">
        <v>294</v>
      </c>
      <c r="D149" s="123" t="s">
        <v>294</v>
      </c>
      <c r="E149" s="123" t="s">
        <v>294</v>
      </c>
      <c r="F149" s="123" t="s">
        <v>294</v>
      </c>
      <c r="G149" s="123" t="str">
        <f t="shared" si="4"/>
        <v>L149</v>
      </c>
      <c r="H149" s="140"/>
    </row>
    <row r="150" spans="1:8" x14ac:dyDescent="0.2">
      <c r="A150" s="128">
        <v>130</v>
      </c>
      <c r="B150" s="130" t="str">
        <f t="shared" si="5"/>
        <v>.</v>
      </c>
      <c r="C150" s="123" t="s">
        <v>294</v>
      </c>
      <c r="D150" s="123" t="s">
        <v>294</v>
      </c>
      <c r="E150" s="123" t="s">
        <v>294</v>
      </c>
      <c r="F150" s="123" t="s">
        <v>294</v>
      </c>
      <c r="G150" s="123" t="str">
        <f t="shared" si="4"/>
        <v>L150</v>
      </c>
      <c r="H150" s="140"/>
    </row>
    <row r="151" spans="1:8" x14ac:dyDescent="0.2">
      <c r="A151" s="128">
        <v>131</v>
      </c>
      <c r="B151" s="130" t="str">
        <f t="shared" ref="B151:B182" si="6">HLOOKUP($B$13,$C$21:$G$820,A151,FALSE)</f>
        <v>.</v>
      </c>
      <c r="C151" s="123" t="s">
        <v>294</v>
      </c>
      <c r="D151" s="123" t="s">
        <v>294</v>
      </c>
      <c r="E151" s="123" t="s">
        <v>294</v>
      </c>
      <c r="F151" s="123" t="s">
        <v>294</v>
      </c>
      <c r="G151" s="123" t="str">
        <f t="shared" si="4"/>
        <v>L151</v>
      </c>
      <c r="H151" s="140"/>
    </row>
    <row r="152" spans="1:8" x14ac:dyDescent="0.2">
      <c r="A152" s="128">
        <v>132</v>
      </c>
      <c r="B152" s="130" t="str">
        <f t="shared" si="6"/>
        <v>.</v>
      </c>
      <c r="C152" s="123" t="s">
        <v>294</v>
      </c>
      <c r="D152" s="123" t="s">
        <v>294</v>
      </c>
      <c r="E152" s="123" t="s">
        <v>294</v>
      </c>
      <c r="F152" s="123" t="s">
        <v>294</v>
      </c>
      <c r="G152" s="123" t="str">
        <f t="shared" si="4"/>
        <v>L152</v>
      </c>
      <c r="H152" s="140"/>
    </row>
    <row r="153" spans="1:8" x14ac:dyDescent="0.2">
      <c r="A153" s="128">
        <v>133</v>
      </c>
      <c r="B153" s="130" t="str">
        <f t="shared" si="6"/>
        <v>.</v>
      </c>
      <c r="C153" s="123" t="s">
        <v>294</v>
      </c>
      <c r="D153" s="123" t="s">
        <v>294</v>
      </c>
      <c r="E153" s="123" t="s">
        <v>294</v>
      </c>
      <c r="F153" s="123" t="s">
        <v>294</v>
      </c>
      <c r="G153" s="123" t="str">
        <f t="shared" ref="G153:G216" si="7">"L"&amp;ROW()</f>
        <v>L153</v>
      </c>
      <c r="H153" s="140"/>
    </row>
    <row r="154" spans="1:8" x14ac:dyDescent="0.2">
      <c r="A154" s="128">
        <v>134</v>
      </c>
      <c r="B154" s="130" t="str">
        <f t="shared" si="6"/>
        <v>avertissements</v>
      </c>
      <c r="C154" s="56" t="s">
        <v>582</v>
      </c>
      <c r="D154" s="123" t="s">
        <v>294</v>
      </c>
      <c r="E154" s="123" t="s">
        <v>683</v>
      </c>
      <c r="F154" s="123" t="s">
        <v>294</v>
      </c>
      <c r="G154" s="123" t="str">
        <f t="shared" si="7"/>
        <v>L154</v>
      </c>
      <c r="H154" s="140"/>
    </row>
    <row r="155" spans="1:8" x14ac:dyDescent="0.2">
      <c r="A155" s="128">
        <v>135</v>
      </c>
      <c r="B155" s="130" t="str">
        <f t="shared" si="6"/>
        <v>!saisir une date valide!</v>
      </c>
      <c r="C155" s="56" t="s">
        <v>765</v>
      </c>
      <c r="D155" s="123" t="s">
        <v>294</v>
      </c>
      <c r="E155" s="56" t="s">
        <v>766</v>
      </c>
      <c r="F155" s="123" t="s">
        <v>294</v>
      </c>
      <c r="G155" s="123" t="str">
        <f t="shared" si="7"/>
        <v>L155</v>
      </c>
      <c r="H155" s="140"/>
    </row>
    <row r="156" spans="1:8" x14ac:dyDescent="0.2">
      <c r="A156" s="128">
        <v>136</v>
      </c>
      <c r="B156" s="130" t="str">
        <f t="shared" si="6"/>
        <v>.</v>
      </c>
      <c r="C156" s="123" t="s">
        <v>294</v>
      </c>
      <c r="D156" s="123" t="s">
        <v>294</v>
      </c>
      <c r="E156" s="123" t="s">
        <v>294</v>
      </c>
      <c r="F156" s="123" t="s">
        <v>294</v>
      </c>
      <c r="G156" s="123" t="str">
        <f t="shared" si="7"/>
        <v>L156</v>
      </c>
      <c r="H156" s="140"/>
    </row>
    <row r="157" spans="1:8" x14ac:dyDescent="0.2">
      <c r="A157" s="128">
        <v>137</v>
      </c>
      <c r="B157" s="130" t="str">
        <f t="shared" si="6"/>
        <v>.</v>
      </c>
      <c r="C157" s="123" t="s">
        <v>294</v>
      </c>
      <c r="D157" s="123" t="s">
        <v>294</v>
      </c>
      <c r="E157" s="123" t="s">
        <v>294</v>
      </c>
      <c r="F157" s="123" t="s">
        <v>294</v>
      </c>
      <c r="G157" s="123" t="str">
        <f t="shared" si="7"/>
        <v>L157</v>
      </c>
      <c r="H157" s="140"/>
    </row>
    <row r="158" spans="1:8" x14ac:dyDescent="0.2">
      <c r="A158" s="128">
        <v>138</v>
      </c>
      <c r="B158" s="130" t="str">
        <f t="shared" si="6"/>
        <v>.</v>
      </c>
      <c r="C158" s="123" t="s">
        <v>294</v>
      </c>
      <c r="D158" s="123" t="s">
        <v>294</v>
      </c>
      <c r="E158" s="123" t="s">
        <v>294</v>
      </c>
      <c r="F158" s="123" t="s">
        <v>294</v>
      </c>
      <c r="G158" s="123" t="str">
        <f t="shared" si="7"/>
        <v>L158</v>
      </c>
      <c r="H158" s="140"/>
    </row>
    <row r="159" spans="1:8" x14ac:dyDescent="0.2">
      <c r="A159" s="128">
        <v>139</v>
      </c>
      <c r="B159" s="130" t="str">
        <f t="shared" si="6"/>
        <v>.</v>
      </c>
      <c r="C159" s="123" t="s">
        <v>294</v>
      </c>
      <c r="D159" s="123" t="s">
        <v>294</v>
      </c>
      <c r="E159" s="123" t="s">
        <v>294</v>
      </c>
      <c r="F159" s="123" t="s">
        <v>294</v>
      </c>
      <c r="G159" s="123" t="str">
        <f t="shared" si="7"/>
        <v>L159</v>
      </c>
      <c r="H159" s="140"/>
    </row>
    <row r="160" spans="1:8" x14ac:dyDescent="0.2">
      <c r="A160" s="128">
        <v>140</v>
      </c>
      <c r="B160" s="130" t="str">
        <f t="shared" si="6"/>
        <v>.</v>
      </c>
      <c r="C160" s="123" t="s">
        <v>294</v>
      </c>
      <c r="D160" s="123" t="s">
        <v>294</v>
      </c>
      <c r="E160" s="123" t="s">
        <v>294</v>
      </c>
      <c r="F160" s="123" t="s">
        <v>294</v>
      </c>
      <c r="G160" s="123" t="str">
        <f t="shared" si="7"/>
        <v>L160</v>
      </c>
      <c r="H160" s="140"/>
    </row>
    <row r="161" spans="1:8" x14ac:dyDescent="0.2">
      <c r="A161" s="128">
        <v>141</v>
      </c>
      <c r="B161" s="131" t="str">
        <f t="shared" si="6"/>
        <v>.</v>
      </c>
      <c r="C161" s="123" t="s">
        <v>294</v>
      </c>
      <c r="D161" s="123" t="s">
        <v>294</v>
      </c>
      <c r="E161" s="123" t="s">
        <v>294</v>
      </c>
      <c r="F161" s="123" t="s">
        <v>294</v>
      </c>
      <c r="G161" s="123" t="str">
        <f t="shared" si="7"/>
        <v>L161</v>
      </c>
      <c r="H161" s="140"/>
    </row>
    <row r="162" spans="1:8" x14ac:dyDescent="0.2">
      <c r="A162" s="128">
        <v>142</v>
      </c>
      <c r="B162" s="130" t="str">
        <f t="shared" si="6"/>
        <v>Peinture Exemple SA</v>
      </c>
      <c r="C162" s="56" t="s">
        <v>581</v>
      </c>
      <c r="E162" s="123" t="s">
        <v>676</v>
      </c>
      <c r="F162" s="123" t="s">
        <v>294</v>
      </c>
      <c r="G162" s="123" t="str">
        <f t="shared" si="7"/>
        <v>L162</v>
      </c>
      <c r="H162" s="140"/>
    </row>
    <row r="163" spans="1:8" x14ac:dyDescent="0.2">
      <c r="A163" s="128">
        <v>143</v>
      </c>
      <c r="B163" s="130" t="str">
        <f t="shared" si="6"/>
        <v>.</v>
      </c>
      <c r="C163" s="123" t="s">
        <v>294</v>
      </c>
      <c r="E163" s="123" t="s">
        <v>294</v>
      </c>
      <c r="F163" s="123" t="s">
        <v>294</v>
      </c>
      <c r="G163" s="123" t="str">
        <f t="shared" si="7"/>
        <v>L163</v>
      </c>
      <c r="H163" s="140"/>
    </row>
    <row r="164" spans="1:8" x14ac:dyDescent="0.2">
      <c r="A164" s="128">
        <v>144</v>
      </c>
      <c r="B164" s="130" t="str">
        <f t="shared" si="6"/>
        <v>nom</v>
      </c>
      <c r="C164" s="56" t="s">
        <v>36</v>
      </c>
      <c r="D164" s="123" t="s">
        <v>294</v>
      </c>
      <c r="E164" s="56" t="s">
        <v>814</v>
      </c>
      <c r="F164" s="123" t="s">
        <v>294</v>
      </c>
      <c r="G164" s="123" t="str">
        <f t="shared" si="7"/>
        <v>L164</v>
      </c>
      <c r="H164" s="140"/>
    </row>
    <row r="165" spans="1:8" x14ac:dyDescent="0.2">
      <c r="A165" s="128">
        <v>145</v>
      </c>
      <c r="B165" s="130" t="str">
        <f t="shared" si="6"/>
        <v>Martin Dupont</v>
      </c>
      <c r="C165" s="56" t="s">
        <v>488</v>
      </c>
      <c r="E165" s="123" t="s">
        <v>675</v>
      </c>
      <c r="F165" s="123" t="s">
        <v>294</v>
      </c>
      <c r="G165" s="123" t="str">
        <f t="shared" si="7"/>
        <v>L165</v>
      </c>
      <c r="H165" s="140"/>
    </row>
    <row r="166" spans="1:8" x14ac:dyDescent="0.2">
      <c r="A166" s="128">
        <v>146</v>
      </c>
      <c r="B166" s="130" t="str">
        <f t="shared" si="6"/>
        <v>.</v>
      </c>
      <c r="C166" s="123" t="s">
        <v>294</v>
      </c>
      <c r="E166" s="123" t="s">
        <v>294</v>
      </c>
      <c r="F166" s="123" t="s">
        <v>294</v>
      </c>
      <c r="G166" s="123" t="str">
        <f t="shared" si="7"/>
        <v>L166</v>
      </c>
      <c r="H166" s="140"/>
    </row>
    <row r="167" spans="1:8" x14ac:dyDescent="0.2">
      <c r="A167" s="128">
        <v>147</v>
      </c>
      <c r="B167" s="130" t="str">
        <f t="shared" si="6"/>
        <v>adresse</v>
      </c>
      <c r="C167" s="123" t="s">
        <v>39</v>
      </c>
      <c r="E167" s="123" t="s">
        <v>811</v>
      </c>
      <c r="F167" s="123" t="s">
        <v>294</v>
      </c>
      <c r="G167" s="123" t="str">
        <f t="shared" si="7"/>
        <v>L167</v>
      </c>
      <c r="H167" s="140"/>
    </row>
    <row r="168" spans="1:8" x14ac:dyDescent="0.2">
      <c r="A168" s="128">
        <v>148</v>
      </c>
      <c r="B168" s="130" t="str">
        <f t="shared" si="6"/>
        <v>rue, N°</v>
      </c>
      <c r="C168" s="56" t="s">
        <v>489</v>
      </c>
      <c r="E168" s="123" t="s">
        <v>611</v>
      </c>
      <c r="F168" s="123" t="s">
        <v>294</v>
      </c>
      <c r="G168" s="123" t="str">
        <f t="shared" si="7"/>
        <v>L168</v>
      </c>
      <c r="H168" s="140"/>
    </row>
    <row r="169" spans="1:8" x14ac:dyDescent="0.2">
      <c r="A169" s="128">
        <v>149</v>
      </c>
      <c r="B169" s="130" t="str">
        <f t="shared" si="6"/>
        <v>CP, lieu</v>
      </c>
      <c r="C169" s="56" t="s">
        <v>490</v>
      </c>
      <c r="E169" s="123" t="s">
        <v>612</v>
      </c>
      <c r="F169" s="123" t="s">
        <v>294</v>
      </c>
      <c r="G169" s="123" t="str">
        <f t="shared" si="7"/>
        <v>L169</v>
      </c>
      <c r="H169" s="140"/>
    </row>
    <row r="170" spans="1:8" x14ac:dyDescent="0.2">
      <c r="A170" s="128">
        <v>150</v>
      </c>
      <c r="B170" s="130" t="str">
        <f t="shared" si="6"/>
        <v>.</v>
      </c>
      <c r="C170" s="123" t="s">
        <v>294</v>
      </c>
      <c r="E170" s="123" t="s">
        <v>294</v>
      </c>
      <c r="F170" s="123" t="s">
        <v>294</v>
      </c>
      <c r="G170" s="123" t="str">
        <f t="shared" si="7"/>
        <v>L170</v>
      </c>
      <c r="H170" s="140"/>
    </row>
    <row r="171" spans="1:8" x14ac:dyDescent="0.2">
      <c r="A171" s="128">
        <v>151</v>
      </c>
      <c r="B171" s="130" t="str">
        <f t="shared" si="6"/>
        <v>coordonnées</v>
      </c>
      <c r="C171" s="123" t="s">
        <v>812</v>
      </c>
      <c r="E171" s="123" t="s">
        <v>813</v>
      </c>
      <c r="F171" s="123" t="s">
        <v>294</v>
      </c>
      <c r="G171" s="123" t="str">
        <f t="shared" si="7"/>
        <v>L171</v>
      </c>
      <c r="H171" s="140"/>
    </row>
    <row r="172" spans="1:8" x14ac:dyDescent="0.2">
      <c r="A172" s="128">
        <v>152</v>
      </c>
      <c r="B172" s="130" t="str">
        <f t="shared" si="6"/>
        <v>téléphone</v>
      </c>
      <c r="C172" s="56" t="s">
        <v>487</v>
      </c>
      <c r="E172" s="123" t="s">
        <v>613</v>
      </c>
      <c r="F172" s="123" t="s">
        <v>294</v>
      </c>
      <c r="G172" s="123" t="str">
        <f t="shared" si="7"/>
        <v>L172</v>
      </c>
      <c r="H172" s="140"/>
    </row>
    <row r="173" spans="1:8" x14ac:dyDescent="0.2">
      <c r="A173" s="128">
        <v>153</v>
      </c>
      <c r="B173" s="130" t="str">
        <f t="shared" si="6"/>
        <v>e-mail</v>
      </c>
      <c r="C173" s="56" t="s">
        <v>491</v>
      </c>
      <c r="E173" s="123" t="s">
        <v>677</v>
      </c>
      <c r="F173" s="123" t="s">
        <v>294</v>
      </c>
      <c r="G173" s="123" t="str">
        <f t="shared" si="7"/>
        <v>L173</v>
      </c>
      <c r="H173" s="140"/>
    </row>
    <row r="174" spans="1:8" x14ac:dyDescent="0.2">
      <c r="A174" s="128">
        <v>154</v>
      </c>
      <c r="B174" s="130" t="str">
        <f t="shared" si="6"/>
        <v>.</v>
      </c>
      <c r="C174" s="123" t="s">
        <v>294</v>
      </c>
      <c r="E174" s="123" t="s">
        <v>294</v>
      </c>
      <c r="F174" s="123" t="s">
        <v>294</v>
      </c>
      <c r="G174" s="123" t="str">
        <f t="shared" si="7"/>
        <v>L174</v>
      </c>
      <c r="H174" s="140"/>
    </row>
    <row r="175" spans="1:8" x14ac:dyDescent="0.2">
      <c r="A175" s="128">
        <v>155</v>
      </c>
      <c r="B175" s="130" t="str">
        <f t="shared" si="6"/>
        <v>.</v>
      </c>
      <c r="C175" s="123" t="s">
        <v>294</v>
      </c>
      <c r="E175" s="123" t="s">
        <v>294</v>
      </c>
      <c r="F175" s="123" t="s">
        <v>294</v>
      </c>
      <c r="G175" s="123" t="str">
        <f t="shared" si="7"/>
        <v>L175</v>
      </c>
      <c r="H175" s="140"/>
    </row>
    <row r="176" spans="1:8" x14ac:dyDescent="0.2">
      <c r="A176" s="128">
        <v>156</v>
      </c>
      <c r="B176" s="130" t="str">
        <f t="shared" si="6"/>
        <v>N° AVS</v>
      </c>
      <c r="C176" s="56" t="s">
        <v>498</v>
      </c>
      <c r="E176" s="123" t="s">
        <v>614</v>
      </c>
      <c r="F176" s="123" t="s">
        <v>294</v>
      </c>
      <c r="G176" s="123" t="str">
        <f t="shared" si="7"/>
        <v>L176</v>
      </c>
      <c r="H176" s="140"/>
    </row>
    <row r="177" spans="1:8" x14ac:dyDescent="0.2">
      <c r="A177" s="128">
        <v>157</v>
      </c>
      <c r="B177" s="130" t="str">
        <f t="shared" si="6"/>
        <v>.</v>
      </c>
      <c r="C177" s="123" t="s">
        <v>294</v>
      </c>
      <c r="E177" s="123" t="s">
        <v>294</v>
      </c>
      <c r="F177" s="123" t="s">
        <v>294</v>
      </c>
      <c r="G177" s="123" t="str">
        <f t="shared" si="7"/>
        <v>L177</v>
      </c>
      <c r="H177" s="140"/>
    </row>
    <row r="178" spans="1:8" x14ac:dyDescent="0.2">
      <c r="A178" s="128">
        <v>158</v>
      </c>
      <c r="B178" s="130" t="str">
        <f t="shared" si="6"/>
        <v>date de naissance</v>
      </c>
      <c r="C178" s="56" t="s">
        <v>37</v>
      </c>
      <c r="E178" s="123" t="s">
        <v>615</v>
      </c>
      <c r="F178" s="123" t="s">
        <v>294</v>
      </c>
      <c r="G178" s="123" t="str">
        <f t="shared" si="7"/>
        <v>L178</v>
      </c>
      <c r="H178" s="140"/>
    </row>
    <row r="179" spans="1:8" x14ac:dyDescent="0.2">
      <c r="A179" s="128">
        <v>159</v>
      </c>
      <c r="B179" s="130">
        <f t="shared" si="6"/>
        <v>38361</v>
      </c>
      <c r="C179" s="533">
        <f ca="1">DATE(YEAR(TODAY())-20,MONTH(TODAY()),DAY(TODAY()))</f>
        <v>38873</v>
      </c>
      <c r="E179" s="554">
        <v>38361</v>
      </c>
      <c r="F179" s="123" t="s">
        <v>294</v>
      </c>
      <c r="G179" s="123" t="str">
        <f t="shared" si="7"/>
        <v>L179</v>
      </c>
      <c r="H179" s="140"/>
    </row>
    <row r="180" spans="1:8" x14ac:dyDescent="0.2">
      <c r="A180" s="128">
        <v>160</v>
      </c>
      <c r="B180" s="130" t="str">
        <f t="shared" si="6"/>
        <v>.</v>
      </c>
      <c r="C180" s="123" t="s">
        <v>294</v>
      </c>
      <c r="E180" s="123" t="s">
        <v>294</v>
      </c>
      <c r="F180" s="123" t="s">
        <v>294</v>
      </c>
      <c r="G180" s="123" t="str">
        <f t="shared" si="7"/>
        <v>L180</v>
      </c>
      <c r="H180" s="140"/>
    </row>
    <row r="181" spans="1:8" x14ac:dyDescent="0.2">
      <c r="A181" s="128">
        <v>161</v>
      </c>
      <c r="B181" s="130" t="str">
        <f t="shared" si="6"/>
        <v>.</v>
      </c>
      <c r="C181" s="123" t="s">
        <v>294</v>
      </c>
      <c r="E181" s="123" t="s">
        <v>294</v>
      </c>
      <c r="F181" s="123" t="s">
        <v>294</v>
      </c>
      <c r="G181" s="123" t="str">
        <f t="shared" si="7"/>
        <v>L181</v>
      </c>
      <c r="H181" s="140"/>
    </row>
    <row r="182" spans="1:8" x14ac:dyDescent="0.2">
      <c r="A182" s="128">
        <v>162</v>
      </c>
      <c r="B182" s="130" t="str">
        <f t="shared" si="6"/>
        <v>date d'entrée</v>
      </c>
      <c r="C182" s="56" t="s">
        <v>492</v>
      </c>
      <c r="E182" s="123" t="s">
        <v>616</v>
      </c>
      <c r="F182" s="123" t="s">
        <v>294</v>
      </c>
      <c r="G182" s="123" t="str">
        <f t="shared" si="7"/>
        <v>L182</v>
      </c>
      <c r="H182" s="140"/>
    </row>
    <row r="183" spans="1:8" x14ac:dyDescent="0.2">
      <c r="A183" s="128">
        <v>163</v>
      </c>
      <c r="B183" s="130" t="str">
        <f t="shared" ref="B183:B214" si="8">HLOOKUP($B$13,$C$21:$G$820,A183,FALSE)</f>
        <v>.</v>
      </c>
      <c r="C183" s="123" t="s">
        <v>294</v>
      </c>
      <c r="D183" s="123" t="s">
        <v>294</v>
      </c>
      <c r="E183" s="123" t="s">
        <v>294</v>
      </c>
      <c r="F183" s="123" t="s">
        <v>294</v>
      </c>
      <c r="G183" s="123" t="str">
        <f t="shared" si="7"/>
        <v>L183</v>
      </c>
      <c r="H183" s="140"/>
    </row>
    <row r="184" spans="1:8" x14ac:dyDescent="0.2">
      <c r="A184" s="128">
        <v>164</v>
      </c>
      <c r="B184" s="130" t="str">
        <f t="shared" si="8"/>
        <v>.</v>
      </c>
      <c r="C184" s="123" t="s">
        <v>294</v>
      </c>
      <c r="D184" s="123" t="s">
        <v>294</v>
      </c>
      <c r="E184" s="123" t="s">
        <v>294</v>
      </c>
      <c r="F184" s="123" t="s">
        <v>294</v>
      </c>
      <c r="G184" s="123" t="str">
        <f t="shared" si="7"/>
        <v>L184</v>
      </c>
      <c r="H184" s="140"/>
    </row>
    <row r="185" spans="1:8" x14ac:dyDescent="0.2">
      <c r="A185" s="128">
        <v>165</v>
      </c>
      <c r="B185" s="130" t="str">
        <f t="shared" si="8"/>
        <v>.</v>
      </c>
      <c r="C185" s="123" t="s">
        <v>294</v>
      </c>
      <c r="D185" s="123" t="s">
        <v>294</v>
      </c>
      <c r="E185" s="123" t="s">
        <v>294</v>
      </c>
      <c r="F185" s="123" t="s">
        <v>294</v>
      </c>
      <c r="G185" s="123" t="str">
        <f t="shared" si="7"/>
        <v>L185</v>
      </c>
      <c r="H185" s="140"/>
    </row>
    <row r="186" spans="1:8" x14ac:dyDescent="0.2">
      <c r="A186" s="128">
        <v>166</v>
      </c>
      <c r="B186" s="130" t="str">
        <f t="shared" si="8"/>
        <v>dernier jour</v>
      </c>
      <c r="C186" s="56" t="s">
        <v>801</v>
      </c>
      <c r="D186" s="123" t="s">
        <v>802</v>
      </c>
      <c r="E186" s="56" t="s">
        <v>769</v>
      </c>
      <c r="F186" s="123" t="s">
        <v>294</v>
      </c>
      <c r="G186" s="123" t="str">
        <f t="shared" si="7"/>
        <v>L186</v>
      </c>
      <c r="H186" s="140"/>
    </row>
    <row r="187" spans="1:8" x14ac:dyDescent="0.2">
      <c r="A187" s="128">
        <v>167</v>
      </c>
      <c r="B187" s="130" t="str">
        <f t="shared" si="8"/>
        <v>.</v>
      </c>
      <c r="C187" s="123" t="s">
        <v>294</v>
      </c>
      <c r="D187" s="123" t="s">
        <v>294</v>
      </c>
      <c r="E187" s="123" t="s">
        <v>294</v>
      </c>
      <c r="F187" s="123" t="s">
        <v>294</v>
      </c>
      <c r="G187" s="123" t="str">
        <f t="shared" si="7"/>
        <v>L187</v>
      </c>
      <c r="H187" s="140"/>
    </row>
    <row r="188" spans="1:8" x14ac:dyDescent="0.2">
      <c r="A188" s="128">
        <v>168</v>
      </c>
      <c r="B188" s="130" t="str">
        <f t="shared" si="8"/>
        <v>.</v>
      </c>
      <c r="C188" s="123" t="s">
        <v>294</v>
      </c>
      <c r="D188" s="123" t="s">
        <v>294</v>
      </c>
      <c r="E188" s="123" t="s">
        <v>294</v>
      </c>
      <c r="F188" s="123" t="s">
        <v>294</v>
      </c>
      <c r="G188" s="123" t="str">
        <f t="shared" si="7"/>
        <v>L188</v>
      </c>
      <c r="H188" s="140"/>
    </row>
    <row r="189" spans="1:8" x14ac:dyDescent="0.2">
      <c r="A189" s="128">
        <v>169</v>
      </c>
      <c r="B189" s="130" t="str">
        <f t="shared" si="8"/>
        <v>.</v>
      </c>
      <c r="C189" s="123" t="s">
        <v>294</v>
      </c>
      <c r="D189" s="123" t="s">
        <v>294</v>
      </c>
      <c r="E189" s="123" t="s">
        <v>294</v>
      </c>
      <c r="F189" s="123" t="s">
        <v>294</v>
      </c>
      <c r="G189" s="123" t="str">
        <f t="shared" si="7"/>
        <v>L189</v>
      </c>
      <c r="H189" s="140"/>
    </row>
    <row r="190" spans="1:8" x14ac:dyDescent="0.2">
      <c r="A190" s="128">
        <v>170</v>
      </c>
      <c r="B190" s="130" t="str">
        <f t="shared" si="8"/>
        <v>.</v>
      </c>
      <c r="C190" s="123" t="s">
        <v>294</v>
      </c>
      <c r="D190" s="123" t="s">
        <v>294</v>
      </c>
      <c r="E190" s="123" t="s">
        <v>294</v>
      </c>
      <c r="F190" s="123" t="s">
        <v>294</v>
      </c>
      <c r="G190" s="123" t="str">
        <f t="shared" si="7"/>
        <v>L190</v>
      </c>
      <c r="H190" s="140"/>
    </row>
    <row r="191" spans="1:8" x14ac:dyDescent="0.2">
      <c r="A191" s="128">
        <v>171</v>
      </c>
      <c r="B191" s="130" t="str">
        <f t="shared" si="8"/>
        <v>.</v>
      </c>
      <c r="C191" s="123" t="s">
        <v>294</v>
      </c>
      <c r="D191" s="123" t="s">
        <v>294</v>
      </c>
      <c r="E191" s="123" t="s">
        <v>294</v>
      </c>
      <c r="F191" s="123" t="s">
        <v>294</v>
      </c>
      <c r="G191" s="123" t="str">
        <f t="shared" si="7"/>
        <v>L191</v>
      </c>
      <c r="H191" s="140"/>
    </row>
    <row r="192" spans="1:8" x14ac:dyDescent="0.2">
      <c r="A192" s="128">
        <v>172</v>
      </c>
      <c r="B192" s="130" t="str">
        <f t="shared" si="8"/>
        <v>.</v>
      </c>
      <c r="C192" s="123" t="s">
        <v>294</v>
      </c>
      <c r="D192" s="123" t="s">
        <v>294</v>
      </c>
      <c r="E192" s="123" t="s">
        <v>294</v>
      </c>
      <c r="F192" s="123" t="s">
        <v>294</v>
      </c>
      <c r="G192" s="123" t="str">
        <f t="shared" si="7"/>
        <v>L192</v>
      </c>
      <c r="H192" s="140"/>
    </row>
    <row r="193" spans="1:8" x14ac:dyDescent="0.2">
      <c r="A193" s="128">
        <v>173</v>
      </c>
      <c r="B193" s="130" t="str">
        <f t="shared" si="8"/>
        <v>.</v>
      </c>
      <c r="C193" s="123" t="s">
        <v>294</v>
      </c>
      <c r="D193" s="123" t="s">
        <v>294</v>
      </c>
      <c r="E193" s="123" t="s">
        <v>294</v>
      </c>
      <c r="F193" s="123" t="s">
        <v>294</v>
      </c>
      <c r="G193" s="123" t="str">
        <f t="shared" si="7"/>
        <v>L193</v>
      </c>
      <c r="H193" s="140"/>
    </row>
    <row r="194" spans="1:8" x14ac:dyDescent="0.2">
      <c r="A194" s="128">
        <v>174</v>
      </c>
      <c r="B194" s="130" t="str">
        <f t="shared" si="8"/>
        <v>.</v>
      </c>
      <c r="C194" s="123" t="s">
        <v>294</v>
      </c>
      <c r="D194" s="123" t="s">
        <v>294</v>
      </c>
      <c r="E194" s="123" t="s">
        <v>294</v>
      </c>
      <c r="F194" s="123" t="s">
        <v>294</v>
      </c>
      <c r="G194" s="123" t="str">
        <f t="shared" si="7"/>
        <v>L194</v>
      </c>
      <c r="H194" s="140"/>
    </row>
    <row r="195" spans="1:8" x14ac:dyDescent="0.2">
      <c r="A195" s="128">
        <v>175</v>
      </c>
      <c r="B195" s="130" t="str">
        <f t="shared" si="8"/>
        <v>.</v>
      </c>
      <c r="C195" s="123" t="s">
        <v>294</v>
      </c>
      <c r="D195" s="123" t="s">
        <v>294</v>
      </c>
      <c r="E195" s="123" t="s">
        <v>294</v>
      </c>
      <c r="F195" s="123" t="s">
        <v>294</v>
      </c>
      <c r="G195" s="123" t="str">
        <f t="shared" si="7"/>
        <v>L195</v>
      </c>
      <c r="H195" s="140"/>
    </row>
    <row r="196" spans="1:8" x14ac:dyDescent="0.2">
      <c r="A196" s="128">
        <v>176</v>
      </c>
      <c r="B196" s="130" t="str">
        <f t="shared" si="8"/>
        <v>.</v>
      </c>
      <c r="C196" s="123" t="s">
        <v>294</v>
      </c>
      <c r="D196" s="123" t="s">
        <v>294</v>
      </c>
      <c r="E196" s="123" t="s">
        <v>294</v>
      </c>
      <c r="F196" s="123" t="s">
        <v>294</v>
      </c>
      <c r="G196" s="123" t="str">
        <f t="shared" si="7"/>
        <v>L196</v>
      </c>
      <c r="H196" s="140"/>
    </row>
    <row r="197" spans="1:8" x14ac:dyDescent="0.2">
      <c r="A197" s="128">
        <v>177</v>
      </c>
      <c r="B197" s="130" t="str">
        <f t="shared" si="8"/>
        <v>.</v>
      </c>
      <c r="C197" s="123" t="s">
        <v>294</v>
      </c>
      <c r="D197" s="123" t="s">
        <v>294</v>
      </c>
      <c r="E197" s="123" t="s">
        <v>294</v>
      </c>
      <c r="F197" s="123" t="s">
        <v>294</v>
      </c>
      <c r="G197" s="123" t="str">
        <f t="shared" si="7"/>
        <v>L197</v>
      </c>
      <c r="H197" s="140"/>
    </row>
    <row r="198" spans="1:8" x14ac:dyDescent="0.2">
      <c r="A198" s="128">
        <v>178</v>
      </c>
      <c r="B198" s="130" t="str">
        <f t="shared" si="8"/>
        <v>.</v>
      </c>
      <c r="C198" s="123" t="s">
        <v>294</v>
      </c>
      <c r="D198" s="123" t="s">
        <v>294</v>
      </c>
      <c r="E198" s="123" t="s">
        <v>294</v>
      </c>
      <c r="F198" s="123" t="s">
        <v>294</v>
      </c>
      <c r="G198" s="123" t="str">
        <f t="shared" si="7"/>
        <v>L198</v>
      </c>
      <c r="H198" s="140"/>
    </row>
    <row r="199" spans="1:8" x14ac:dyDescent="0.2">
      <c r="A199" s="128">
        <v>179</v>
      </c>
      <c r="B199" s="130" t="str">
        <f t="shared" si="8"/>
        <v>.</v>
      </c>
      <c r="C199" s="130" t="s">
        <v>294</v>
      </c>
      <c r="D199" s="130" t="s">
        <v>294</v>
      </c>
      <c r="E199" s="130" t="s">
        <v>294</v>
      </c>
      <c r="F199" s="130" t="s">
        <v>294</v>
      </c>
      <c r="G199" s="130" t="str">
        <f t="shared" si="7"/>
        <v>L199</v>
      </c>
      <c r="H199" s="140"/>
    </row>
    <row r="200" spans="1:8" x14ac:dyDescent="0.2">
      <c r="A200" s="128">
        <v>180</v>
      </c>
      <c r="B200" s="130" t="str">
        <f t="shared" si="8"/>
        <v>.</v>
      </c>
      <c r="C200" s="130" t="s">
        <v>294</v>
      </c>
      <c r="D200" s="130" t="s">
        <v>294</v>
      </c>
      <c r="E200" s="130" t="s">
        <v>294</v>
      </c>
      <c r="F200" s="130" t="s">
        <v>294</v>
      </c>
      <c r="G200" s="130" t="str">
        <f t="shared" si="7"/>
        <v>L200</v>
      </c>
      <c r="H200" s="140"/>
    </row>
    <row r="201" spans="1:8" x14ac:dyDescent="0.2">
      <c r="A201" s="128">
        <v>181</v>
      </c>
      <c r="B201" s="130" t="str">
        <f t="shared" si="8"/>
        <v>.</v>
      </c>
      <c r="C201" s="130" t="s">
        <v>294</v>
      </c>
      <c r="D201" s="130" t="s">
        <v>294</v>
      </c>
      <c r="E201" s="130" t="s">
        <v>294</v>
      </c>
      <c r="F201" s="130" t="s">
        <v>294</v>
      </c>
      <c r="G201" s="130" t="str">
        <f t="shared" si="7"/>
        <v>L201</v>
      </c>
      <c r="H201" s="140"/>
    </row>
    <row r="202" spans="1:8" x14ac:dyDescent="0.2">
      <c r="A202" s="128">
        <v>182</v>
      </c>
      <c r="B202" s="130" t="str">
        <f t="shared" si="8"/>
        <v>.</v>
      </c>
      <c r="C202" s="130" t="s">
        <v>294</v>
      </c>
      <c r="D202" s="130" t="s">
        <v>294</v>
      </c>
      <c r="E202" s="130" t="s">
        <v>294</v>
      </c>
      <c r="F202" s="130" t="s">
        <v>294</v>
      </c>
      <c r="G202" s="130" t="str">
        <f t="shared" si="7"/>
        <v>L202</v>
      </c>
      <c r="H202" s="140"/>
    </row>
    <row r="203" spans="1:8" x14ac:dyDescent="0.2">
      <c r="A203" s="128">
        <v>183</v>
      </c>
      <c r="B203" s="130" t="str">
        <f t="shared" si="8"/>
        <v>.</v>
      </c>
      <c r="C203" s="130" t="s">
        <v>294</v>
      </c>
      <c r="D203" s="130" t="s">
        <v>294</v>
      </c>
      <c r="E203" s="130" t="s">
        <v>294</v>
      </c>
      <c r="F203" s="130" t="s">
        <v>294</v>
      </c>
      <c r="G203" s="130" t="str">
        <f t="shared" si="7"/>
        <v>L203</v>
      </c>
      <c r="H203" s="140"/>
    </row>
    <row r="204" spans="1:8" x14ac:dyDescent="0.2">
      <c r="A204" s="128">
        <v>184</v>
      </c>
      <c r="B204" s="130" t="str">
        <f t="shared" si="8"/>
        <v>.</v>
      </c>
      <c r="C204" s="130" t="s">
        <v>294</v>
      </c>
      <c r="D204" s="130" t="s">
        <v>294</v>
      </c>
      <c r="E204" s="130" t="s">
        <v>294</v>
      </c>
      <c r="F204" s="130" t="s">
        <v>294</v>
      </c>
      <c r="G204" s="130" t="str">
        <f t="shared" si="7"/>
        <v>L204</v>
      </c>
      <c r="H204" s="140"/>
    </row>
    <row r="205" spans="1:8" x14ac:dyDescent="0.2">
      <c r="A205" s="128">
        <v>185</v>
      </c>
      <c r="B205" s="130" t="str">
        <f t="shared" si="8"/>
        <v>.</v>
      </c>
      <c r="C205" s="130" t="s">
        <v>294</v>
      </c>
      <c r="D205" s="130" t="s">
        <v>294</v>
      </c>
      <c r="E205" s="130" t="s">
        <v>294</v>
      </c>
      <c r="F205" s="130" t="s">
        <v>294</v>
      </c>
      <c r="G205" s="130" t="str">
        <f t="shared" si="7"/>
        <v>L205</v>
      </c>
      <c r="H205" s="140"/>
    </row>
    <row r="206" spans="1:8" x14ac:dyDescent="0.2">
      <c r="A206" s="128">
        <v>186</v>
      </c>
      <c r="B206" s="130" t="str">
        <f t="shared" si="8"/>
        <v>.</v>
      </c>
      <c r="C206" s="130" t="s">
        <v>294</v>
      </c>
      <c r="D206" s="130" t="s">
        <v>294</v>
      </c>
      <c r="E206" s="130" t="s">
        <v>294</v>
      </c>
      <c r="F206" s="130" t="s">
        <v>294</v>
      </c>
      <c r="G206" s="130" t="str">
        <f t="shared" si="7"/>
        <v>L206</v>
      </c>
      <c r="H206" s="140"/>
    </row>
    <row r="207" spans="1:8" x14ac:dyDescent="0.2">
      <c r="A207" s="128">
        <v>187</v>
      </c>
      <c r="B207" s="130" t="str">
        <f t="shared" si="8"/>
        <v>.</v>
      </c>
      <c r="C207" s="130" t="s">
        <v>294</v>
      </c>
      <c r="D207" s="130" t="s">
        <v>294</v>
      </c>
      <c r="E207" s="130" t="s">
        <v>294</v>
      </c>
      <c r="F207" s="130" t="s">
        <v>294</v>
      </c>
      <c r="G207" s="130" t="str">
        <f t="shared" si="7"/>
        <v>L207</v>
      </c>
      <c r="H207" s="140"/>
    </row>
    <row r="208" spans="1:8" x14ac:dyDescent="0.2">
      <c r="A208" s="128">
        <v>188</v>
      </c>
      <c r="B208" s="130" t="str">
        <f t="shared" si="8"/>
        <v>.</v>
      </c>
      <c r="C208" s="130" t="s">
        <v>294</v>
      </c>
      <c r="D208" s="130" t="s">
        <v>294</v>
      </c>
      <c r="E208" s="130" t="s">
        <v>294</v>
      </c>
      <c r="F208" s="130" t="s">
        <v>294</v>
      </c>
      <c r="G208" s="130" t="str">
        <f t="shared" si="7"/>
        <v>L208</v>
      </c>
      <c r="H208" s="140"/>
    </row>
    <row r="209" spans="1:8" x14ac:dyDescent="0.2">
      <c r="A209" s="128">
        <v>189</v>
      </c>
      <c r="B209" s="130" t="str">
        <f t="shared" si="8"/>
        <v>.</v>
      </c>
      <c r="C209" s="130" t="s">
        <v>294</v>
      </c>
      <c r="D209" s="130" t="s">
        <v>294</v>
      </c>
      <c r="E209" s="130" t="s">
        <v>294</v>
      </c>
      <c r="F209" s="130" t="s">
        <v>294</v>
      </c>
      <c r="G209" s="130" t="str">
        <f t="shared" si="7"/>
        <v>L209</v>
      </c>
      <c r="H209" s="140"/>
    </row>
    <row r="210" spans="1:8" x14ac:dyDescent="0.2">
      <c r="A210" s="128">
        <v>190</v>
      </c>
      <c r="B210" s="130" t="str">
        <f t="shared" si="8"/>
        <v>.</v>
      </c>
      <c r="C210" s="130" t="s">
        <v>294</v>
      </c>
      <c r="D210" s="130" t="s">
        <v>294</v>
      </c>
      <c r="E210" s="130" t="s">
        <v>294</v>
      </c>
      <c r="F210" s="130" t="s">
        <v>294</v>
      </c>
      <c r="G210" s="130" t="str">
        <f t="shared" si="7"/>
        <v>L210</v>
      </c>
      <c r="H210" s="140"/>
    </row>
    <row r="211" spans="1:8" x14ac:dyDescent="0.2">
      <c r="A211" s="128">
        <v>191</v>
      </c>
      <c r="B211" s="130" t="str">
        <f t="shared" si="8"/>
        <v>.</v>
      </c>
      <c r="C211" s="130" t="s">
        <v>294</v>
      </c>
      <c r="D211" s="130" t="s">
        <v>294</v>
      </c>
      <c r="E211" s="130" t="s">
        <v>294</v>
      </c>
      <c r="F211" s="130" t="s">
        <v>294</v>
      </c>
      <c r="G211" s="130" t="str">
        <f t="shared" si="7"/>
        <v>L211</v>
      </c>
      <c r="H211" s="140"/>
    </row>
    <row r="212" spans="1:8" x14ac:dyDescent="0.2">
      <c r="A212" s="128">
        <v>192</v>
      </c>
      <c r="B212" s="130" t="str">
        <f t="shared" si="8"/>
        <v>.</v>
      </c>
      <c r="C212" s="130" t="s">
        <v>294</v>
      </c>
      <c r="D212" s="130" t="s">
        <v>294</v>
      </c>
      <c r="E212" s="130" t="s">
        <v>294</v>
      </c>
      <c r="F212" s="130" t="s">
        <v>294</v>
      </c>
      <c r="G212" s="130" t="str">
        <f t="shared" si="7"/>
        <v>L212</v>
      </c>
      <c r="H212" s="140"/>
    </row>
    <row r="213" spans="1:8" x14ac:dyDescent="0.2">
      <c r="A213" s="128">
        <v>193</v>
      </c>
      <c r="B213" s="130" t="str">
        <f t="shared" si="8"/>
        <v>.</v>
      </c>
      <c r="C213" s="130" t="s">
        <v>294</v>
      </c>
      <c r="D213" s="130" t="s">
        <v>294</v>
      </c>
      <c r="E213" s="130" t="s">
        <v>294</v>
      </c>
      <c r="F213" s="130" t="s">
        <v>294</v>
      </c>
      <c r="G213" s="130" t="str">
        <f t="shared" si="7"/>
        <v>L213</v>
      </c>
      <c r="H213" s="140"/>
    </row>
    <row r="214" spans="1:8" x14ac:dyDescent="0.2">
      <c r="A214" s="128">
        <v>194</v>
      </c>
      <c r="B214" s="130" t="str">
        <f t="shared" si="8"/>
        <v>.</v>
      </c>
      <c r="C214" s="130" t="s">
        <v>294</v>
      </c>
      <c r="D214" s="130" t="s">
        <v>294</v>
      </c>
      <c r="E214" s="130" t="s">
        <v>294</v>
      </c>
      <c r="F214" s="130" t="s">
        <v>294</v>
      </c>
      <c r="G214" s="130" t="str">
        <f t="shared" si="7"/>
        <v>L214</v>
      </c>
      <c r="H214" s="140"/>
    </row>
    <row r="215" spans="1:8" x14ac:dyDescent="0.2">
      <c r="A215" s="128">
        <v>195</v>
      </c>
      <c r="B215" s="130" t="str">
        <f t="shared" ref="B215:B219" si="9">HLOOKUP($B$13,$C$21:$G$820,A215,FALSE)</f>
        <v>.</v>
      </c>
      <c r="C215" s="130" t="s">
        <v>294</v>
      </c>
      <c r="D215" s="130" t="s">
        <v>294</v>
      </c>
      <c r="E215" s="130" t="s">
        <v>294</v>
      </c>
      <c r="F215" s="130" t="s">
        <v>294</v>
      </c>
      <c r="G215" s="130" t="str">
        <f t="shared" si="7"/>
        <v>L215</v>
      </c>
      <c r="H215" s="140"/>
    </row>
    <row r="216" spans="1:8" x14ac:dyDescent="0.2">
      <c r="A216" s="128">
        <v>196</v>
      </c>
      <c r="B216" s="130" t="str">
        <f t="shared" si="9"/>
        <v>.</v>
      </c>
      <c r="C216" s="130" t="s">
        <v>294</v>
      </c>
      <c r="D216" s="130" t="s">
        <v>294</v>
      </c>
      <c r="E216" s="130" t="s">
        <v>294</v>
      </c>
      <c r="F216" s="130" t="s">
        <v>294</v>
      </c>
      <c r="G216" s="130" t="str">
        <f t="shared" si="7"/>
        <v>L216</v>
      </c>
      <c r="H216" s="140"/>
    </row>
    <row r="217" spans="1:8" x14ac:dyDescent="0.2">
      <c r="A217" s="128">
        <v>197</v>
      </c>
      <c r="B217" s="130" t="str">
        <f t="shared" si="9"/>
        <v>.</v>
      </c>
      <c r="C217" s="130" t="s">
        <v>294</v>
      </c>
      <c r="D217" s="130" t="s">
        <v>294</v>
      </c>
      <c r="E217" s="130" t="s">
        <v>294</v>
      </c>
      <c r="F217" s="130" t="s">
        <v>294</v>
      </c>
      <c r="G217" s="130" t="str">
        <f t="shared" ref="G217:G280" si="10">"L"&amp;ROW()</f>
        <v>L217</v>
      </c>
      <c r="H217" s="140"/>
    </row>
    <row r="218" spans="1:8" x14ac:dyDescent="0.2">
      <c r="A218" s="128">
        <v>198</v>
      </c>
      <c r="B218" s="130" t="str">
        <f t="shared" si="9"/>
        <v>.</v>
      </c>
      <c r="C218" s="130" t="s">
        <v>294</v>
      </c>
      <c r="D218" s="130" t="s">
        <v>294</v>
      </c>
      <c r="E218" s="130" t="s">
        <v>294</v>
      </c>
      <c r="F218" s="130" t="s">
        <v>294</v>
      </c>
      <c r="G218" s="130" t="str">
        <f t="shared" si="10"/>
        <v>L218</v>
      </c>
      <c r="H218" s="140"/>
    </row>
    <row r="219" spans="1:8" x14ac:dyDescent="0.2">
      <c r="A219" s="128">
        <v>199</v>
      </c>
      <c r="B219" s="130" t="str">
        <f t="shared" si="9"/>
        <v>.</v>
      </c>
      <c r="C219" s="130" t="s">
        <v>294</v>
      </c>
      <c r="D219" s="130" t="s">
        <v>294</v>
      </c>
      <c r="E219" s="130" t="s">
        <v>294</v>
      </c>
      <c r="F219" s="130" t="s">
        <v>294</v>
      </c>
      <c r="G219" s="130" t="str">
        <f t="shared" si="10"/>
        <v>L219</v>
      </c>
      <c r="H219" s="140"/>
    </row>
    <row r="220" spans="1:8" x14ac:dyDescent="0.2">
      <c r="A220" s="128">
        <v>200</v>
      </c>
      <c r="B220" s="132" t="s">
        <v>255</v>
      </c>
      <c r="C220" s="129"/>
      <c r="D220" s="129"/>
      <c r="E220" s="129"/>
      <c r="F220" s="129"/>
      <c r="G220" s="129" t="str">
        <f t="shared" si="10"/>
        <v>L220</v>
      </c>
      <c r="H220" s="139"/>
    </row>
    <row r="221" spans="1:8" x14ac:dyDescent="0.2">
      <c r="A221" s="128">
        <v>201</v>
      </c>
      <c r="B221" s="130" t="str">
        <f t="shared" ref="B221:B252" si="11">HLOOKUP($B$13,$C$21:$G$820,A221,FALSE)</f>
        <v xml:space="preserve">Contrôle des heures de travail </v>
      </c>
      <c r="C221" s="131" t="s">
        <v>321</v>
      </c>
      <c r="D221" s="131" t="s">
        <v>515</v>
      </c>
      <c r="E221" s="131" t="s">
        <v>322</v>
      </c>
      <c r="F221" s="130" t="s">
        <v>323</v>
      </c>
      <c r="G221" s="130" t="str">
        <f t="shared" si="10"/>
        <v>L221</v>
      </c>
      <c r="H221" s="140" t="s">
        <v>324</v>
      </c>
    </row>
    <row r="222" spans="1:8" x14ac:dyDescent="0.2">
      <c r="A222" s="128">
        <v>202</v>
      </c>
      <c r="B222" s="130" t="str">
        <f t="shared" si="11"/>
        <v>employé</v>
      </c>
      <c r="C222" s="56" t="s">
        <v>307</v>
      </c>
      <c r="E222" s="123" t="s">
        <v>610</v>
      </c>
      <c r="G222" s="123" t="str">
        <f t="shared" si="10"/>
        <v>L222</v>
      </c>
      <c r="H222" s="140"/>
    </row>
    <row r="223" spans="1:8" x14ac:dyDescent="0.2">
      <c r="A223" s="128">
        <v>203</v>
      </c>
      <c r="B223" s="130" t="str">
        <f t="shared" si="11"/>
        <v>occupation (%)</v>
      </c>
      <c r="C223" s="56" t="s">
        <v>325</v>
      </c>
      <c r="E223" s="123" t="s">
        <v>684</v>
      </c>
      <c r="G223" s="123" t="str">
        <f t="shared" si="10"/>
        <v>L223</v>
      </c>
      <c r="H223" s="140"/>
    </row>
    <row r="224" spans="1:8" x14ac:dyDescent="0.2">
      <c r="A224" s="128">
        <v>204</v>
      </c>
      <c r="B224" s="130" t="str">
        <f t="shared" si="11"/>
        <v>en</v>
      </c>
      <c r="C224" s="56" t="s">
        <v>326</v>
      </c>
      <c r="D224" s="56" t="s">
        <v>530</v>
      </c>
      <c r="E224" s="56" t="s">
        <v>685</v>
      </c>
      <c r="F224" s="56" t="s">
        <v>530</v>
      </c>
      <c r="G224" s="123" t="str">
        <f t="shared" si="10"/>
        <v>L224</v>
      </c>
      <c r="H224" s="140"/>
    </row>
    <row r="225" spans="1:8" x14ac:dyDescent="0.2">
      <c r="A225" s="128">
        <v>205</v>
      </c>
      <c r="B225" s="130" t="str">
        <f t="shared" si="11"/>
        <v>se pour l'année</v>
      </c>
      <c r="C225" s="56" t="s">
        <v>327</v>
      </c>
      <c r="E225" s="123" t="s">
        <v>845</v>
      </c>
      <c r="G225" s="123" t="str">
        <f t="shared" si="10"/>
        <v>L225</v>
      </c>
      <c r="H225" s="140"/>
    </row>
    <row r="226" spans="1:8" x14ac:dyDescent="0.2">
      <c r="A226" s="128">
        <v>206</v>
      </c>
      <c r="B226" s="130">
        <f t="shared" si="11"/>
        <v>0</v>
      </c>
      <c r="G226" s="123" t="str">
        <f t="shared" si="10"/>
        <v>L226</v>
      </c>
      <c r="H226" s="140"/>
    </row>
    <row r="227" spans="1:8" x14ac:dyDescent="0.2">
      <c r="A227" s="128">
        <v>207</v>
      </c>
      <c r="B227" s="130">
        <f t="shared" si="11"/>
        <v>0</v>
      </c>
      <c r="G227" s="123" t="str">
        <f t="shared" si="10"/>
        <v>L227</v>
      </c>
      <c r="H227" s="140"/>
    </row>
    <row r="228" spans="1:8" x14ac:dyDescent="0.2">
      <c r="A228" s="128">
        <v>208</v>
      </c>
      <c r="B228" s="130">
        <f t="shared" si="11"/>
        <v>0</v>
      </c>
      <c r="G228" s="123" t="str">
        <f t="shared" si="10"/>
        <v>L228</v>
      </c>
      <c r="H228" s="140"/>
    </row>
    <row r="229" spans="1:8" x14ac:dyDescent="0.2">
      <c r="A229" s="128">
        <v>209</v>
      </c>
      <c r="B229" s="130">
        <f t="shared" si="11"/>
        <v>0</v>
      </c>
      <c r="G229" s="123" t="str">
        <f t="shared" si="10"/>
        <v>L229</v>
      </c>
      <c r="H229" s="140"/>
    </row>
    <row r="230" spans="1:8" x14ac:dyDescent="0.2">
      <c r="A230" s="128">
        <v>210</v>
      </c>
      <c r="B230" s="130">
        <f t="shared" si="11"/>
        <v>0</v>
      </c>
      <c r="G230" s="123" t="str">
        <f t="shared" si="10"/>
        <v>L230</v>
      </c>
      <c r="H230" s="140"/>
    </row>
    <row r="231" spans="1:8" x14ac:dyDescent="0.2">
      <c r="A231" s="128">
        <v>211</v>
      </c>
      <c r="B231" s="130" t="str">
        <f t="shared" si="11"/>
        <v>se mois + / -</v>
      </c>
      <c r="C231" s="56" t="s">
        <v>328</v>
      </c>
      <c r="E231" s="123" t="s">
        <v>846</v>
      </c>
      <c r="G231" s="123" t="str">
        <f t="shared" si="10"/>
        <v>L231</v>
      </c>
      <c r="H231" s="140"/>
    </row>
    <row r="232" spans="1:8" x14ac:dyDescent="0.2">
      <c r="A232" s="128">
        <v>212</v>
      </c>
      <c r="B232" s="130">
        <f t="shared" si="11"/>
        <v>0</v>
      </c>
      <c r="G232" s="123" t="str">
        <f t="shared" si="10"/>
        <v>L232</v>
      </c>
      <c r="H232" s="140"/>
    </row>
    <row r="233" spans="1:8" x14ac:dyDescent="0.2">
      <c r="A233" s="128">
        <v>213</v>
      </c>
      <c r="B233" s="130">
        <f t="shared" si="11"/>
        <v>0</v>
      </c>
      <c r="G233" s="123" t="str">
        <f t="shared" si="10"/>
        <v>L233</v>
      </c>
      <c r="H233" s="140"/>
    </row>
    <row r="234" spans="1:8" x14ac:dyDescent="0.2">
      <c r="A234" s="128">
        <v>214</v>
      </c>
      <c r="B234" s="130">
        <f t="shared" si="11"/>
        <v>0</v>
      </c>
      <c r="G234" s="123" t="str">
        <f t="shared" si="10"/>
        <v>L234</v>
      </c>
      <c r="H234" s="140"/>
    </row>
    <row r="235" spans="1:8" x14ac:dyDescent="0.2">
      <c r="A235" s="128">
        <v>215</v>
      </c>
      <c r="B235" s="130">
        <f t="shared" si="11"/>
        <v>0</v>
      </c>
      <c r="G235" s="123" t="str">
        <f t="shared" si="10"/>
        <v>L235</v>
      </c>
      <c r="H235" s="140"/>
    </row>
    <row r="236" spans="1:8" x14ac:dyDescent="0.2">
      <c r="A236" s="128">
        <v>216</v>
      </c>
      <c r="B236" s="130">
        <f t="shared" si="11"/>
        <v>0</v>
      </c>
      <c r="G236" s="123" t="str">
        <f t="shared" si="10"/>
        <v>L236</v>
      </c>
      <c r="H236" s="140"/>
    </row>
    <row r="237" spans="1:8" x14ac:dyDescent="0.2">
      <c r="A237" s="128">
        <v>217</v>
      </c>
      <c r="B237" s="130">
        <f t="shared" si="11"/>
        <v>0</v>
      </c>
      <c r="G237" s="123" t="str">
        <f t="shared" si="10"/>
        <v>L237</v>
      </c>
      <c r="H237" s="140"/>
    </row>
    <row r="238" spans="1:8" x14ac:dyDescent="0.2">
      <c r="A238" s="128">
        <v>218</v>
      </c>
      <c r="B238" s="130">
        <f t="shared" si="11"/>
        <v>0</v>
      </c>
      <c r="G238" s="123" t="str">
        <f t="shared" si="10"/>
        <v>L238</v>
      </c>
      <c r="H238" s="140"/>
    </row>
    <row r="239" spans="1:8" x14ac:dyDescent="0.2">
      <c r="A239" s="128">
        <v>219</v>
      </c>
      <c r="B239" s="130">
        <f t="shared" si="11"/>
        <v>0</v>
      </c>
      <c r="G239" s="123" t="str">
        <f t="shared" si="10"/>
        <v>L239</v>
      </c>
      <c r="H239" s="140"/>
    </row>
    <row r="240" spans="1:8" x14ac:dyDescent="0.2">
      <c r="A240" s="128">
        <v>220</v>
      </c>
      <c r="B240" s="130" t="str">
        <f t="shared" si="11"/>
        <v xml:space="preserve"> = </v>
      </c>
      <c r="C240" s="131" t="s">
        <v>329</v>
      </c>
      <c r="D240" s="130" t="str">
        <f>C240</f>
        <v xml:space="preserve"> = </v>
      </c>
      <c r="E240" s="131" t="s">
        <v>329</v>
      </c>
      <c r="F240" s="131" t="str">
        <f>C240</f>
        <v xml:space="preserve"> = </v>
      </c>
      <c r="G240" s="123" t="str">
        <f t="shared" si="10"/>
        <v>L240</v>
      </c>
      <c r="H240" s="140"/>
    </row>
    <row r="241" spans="1:8" ht="25.5" x14ac:dyDescent="0.2">
      <c r="A241" s="128">
        <v>221</v>
      </c>
      <c r="B241" s="130" t="str">
        <f t="shared" si="11"/>
        <v>seules les cases/champs jaunes sont saisissables</v>
      </c>
      <c r="C241" s="131" t="s">
        <v>330</v>
      </c>
      <c r="D241" s="130" t="s">
        <v>331</v>
      </c>
      <c r="E241" s="131" t="s">
        <v>736</v>
      </c>
      <c r="F241" s="131" t="str">
        <f>C241</f>
        <v>Nur die gelben Felder sind Eingabefelder</v>
      </c>
      <c r="G241" s="123" t="str">
        <f t="shared" si="10"/>
        <v>L241</v>
      </c>
      <c r="H241" s="140"/>
    </row>
    <row r="242" spans="1:8" x14ac:dyDescent="0.2">
      <c r="A242" s="128">
        <v>222</v>
      </c>
      <c r="B242" s="130">
        <f t="shared" si="11"/>
        <v>0</v>
      </c>
      <c r="C242" s="130"/>
      <c r="D242" s="130"/>
      <c r="E242" s="130"/>
      <c r="F242" s="130"/>
      <c r="G242" s="130" t="str">
        <f t="shared" si="10"/>
        <v>L242</v>
      </c>
      <c r="H242" s="140"/>
    </row>
    <row r="243" spans="1:8" x14ac:dyDescent="0.2">
      <c r="A243" s="128">
        <v>223</v>
      </c>
      <c r="B243" s="130">
        <f t="shared" si="11"/>
        <v>0</v>
      </c>
      <c r="C243" s="130"/>
      <c r="D243" s="130"/>
      <c r="E243" s="130"/>
      <c r="F243" s="130"/>
      <c r="G243" s="130" t="str">
        <f t="shared" si="10"/>
        <v>L243</v>
      </c>
      <c r="H243" s="140"/>
    </row>
    <row r="244" spans="1:8" x14ac:dyDescent="0.2">
      <c r="A244" s="128">
        <v>224</v>
      </c>
      <c r="B244" s="130">
        <f t="shared" si="11"/>
        <v>0</v>
      </c>
      <c r="C244" s="130"/>
      <c r="D244" s="130"/>
      <c r="E244" s="130"/>
      <c r="F244" s="130"/>
      <c r="G244" s="130" t="str">
        <f t="shared" si="10"/>
        <v>L244</v>
      </c>
      <c r="H244" s="140"/>
    </row>
    <row r="245" spans="1:8" x14ac:dyDescent="0.2">
      <c r="A245" s="128">
        <v>225</v>
      </c>
      <c r="B245" s="130">
        <f t="shared" si="11"/>
        <v>0</v>
      </c>
      <c r="C245" s="130"/>
      <c r="D245" s="130"/>
      <c r="E245" s="130"/>
      <c r="F245" s="130"/>
      <c r="G245" s="130" t="str">
        <f t="shared" si="10"/>
        <v>L245</v>
      </c>
      <c r="H245" s="140"/>
    </row>
    <row r="246" spans="1:8" x14ac:dyDescent="0.2">
      <c r="A246" s="128">
        <v>226</v>
      </c>
      <c r="B246" s="130">
        <f t="shared" si="11"/>
        <v>0</v>
      </c>
      <c r="C246" s="130"/>
      <c r="D246" s="130"/>
      <c r="E246" s="130"/>
      <c r="F246" s="130"/>
      <c r="G246" s="130" t="str">
        <f t="shared" si="10"/>
        <v>L246</v>
      </c>
      <c r="H246" s="140"/>
    </row>
    <row r="247" spans="1:8" x14ac:dyDescent="0.2">
      <c r="A247" s="128">
        <v>227</v>
      </c>
      <c r="B247" s="130">
        <f t="shared" si="11"/>
        <v>0</v>
      </c>
      <c r="C247" s="130"/>
      <c r="D247" s="130"/>
      <c r="E247" s="130"/>
      <c r="F247" s="130"/>
      <c r="G247" s="130" t="str">
        <f t="shared" si="10"/>
        <v>L247</v>
      </c>
      <c r="H247" s="140"/>
    </row>
    <row r="248" spans="1:8" x14ac:dyDescent="0.2">
      <c r="A248" s="128">
        <v>228</v>
      </c>
      <c r="B248" s="130">
        <f t="shared" si="11"/>
        <v>0</v>
      </c>
      <c r="C248" s="130"/>
      <c r="D248" s="130"/>
      <c r="E248" s="130"/>
      <c r="F248" s="130"/>
      <c r="G248" s="130" t="str">
        <f t="shared" si="10"/>
        <v>L248</v>
      </c>
      <c r="H248" s="140"/>
    </row>
    <row r="249" spans="1:8" x14ac:dyDescent="0.2">
      <c r="A249" s="128">
        <v>229</v>
      </c>
      <c r="B249" s="130">
        <f t="shared" si="11"/>
        <v>0</v>
      </c>
      <c r="C249" s="130"/>
      <c r="D249" s="130"/>
      <c r="E249" s="130"/>
      <c r="F249" s="130"/>
      <c r="G249" s="130" t="str">
        <f t="shared" si="10"/>
        <v>L249</v>
      </c>
      <c r="H249" s="140"/>
    </row>
    <row r="250" spans="1:8" x14ac:dyDescent="0.2">
      <c r="A250" s="128">
        <v>230</v>
      </c>
      <c r="B250" s="130" t="str">
        <f t="shared" si="11"/>
        <v>jour</v>
      </c>
      <c r="C250" s="131" t="s">
        <v>301</v>
      </c>
      <c r="D250" s="130"/>
      <c r="E250" s="130" t="s">
        <v>632</v>
      </c>
      <c r="F250" s="130"/>
      <c r="G250" s="130" t="str">
        <f t="shared" si="10"/>
        <v>L250</v>
      </c>
      <c r="H250" s="140"/>
    </row>
    <row r="251" spans="1:8" x14ac:dyDescent="0.2">
      <c r="A251" s="128">
        <v>231</v>
      </c>
      <c r="B251" s="130" t="str">
        <f t="shared" si="11"/>
        <v>heures théorique</v>
      </c>
      <c r="C251" s="131" t="s">
        <v>332</v>
      </c>
      <c r="D251" s="130"/>
      <c r="E251" s="130" t="s">
        <v>687</v>
      </c>
      <c r="F251" s="130"/>
      <c r="G251" s="130" t="str">
        <f t="shared" si="10"/>
        <v>L251</v>
      </c>
      <c r="H251" s="140"/>
    </row>
    <row r="252" spans="1:8" x14ac:dyDescent="0.2">
      <c r="A252" s="128">
        <v>232</v>
      </c>
      <c r="B252" s="130" t="str">
        <f t="shared" si="11"/>
        <v>jours fériés</v>
      </c>
      <c r="C252" s="131" t="s">
        <v>163</v>
      </c>
      <c r="D252" s="130"/>
      <c r="E252" s="130" t="s">
        <v>686</v>
      </c>
      <c r="F252" s="130"/>
      <c r="G252" s="130" t="str">
        <f t="shared" si="10"/>
        <v>L252</v>
      </c>
      <c r="H252" s="140"/>
    </row>
    <row r="253" spans="1:8" x14ac:dyDescent="0.2">
      <c r="A253" s="128">
        <v>233</v>
      </c>
      <c r="B253" s="130">
        <f t="shared" ref="B253:B284" si="12">HLOOKUP($B$13,$C$21:$G$820,A253,FALSE)</f>
        <v>0</v>
      </c>
      <c r="C253" s="130"/>
      <c r="D253" s="130"/>
      <c r="E253" s="130"/>
      <c r="F253" s="130"/>
      <c r="G253" s="130" t="str">
        <f t="shared" si="10"/>
        <v>L253</v>
      </c>
      <c r="H253" s="140"/>
    </row>
    <row r="254" spans="1:8" x14ac:dyDescent="0.2">
      <c r="A254" s="128">
        <v>234</v>
      </c>
      <c r="B254" s="130" t="str">
        <f t="shared" si="12"/>
        <v>heures productives</v>
      </c>
      <c r="C254" s="131" t="s">
        <v>333</v>
      </c>
      <c r="D254" s="130"/>
      <c r="E254" s="130" t="s">
        <v>688</v>
      </c>
      <c r="F254" s="130"/>
      <c r="G254" s="130" t="str">
        <f t="shared" si="10"/>
        <v>L254</v>
      </c>
      <c r="H254" s="140"/>
    </row>
    <row r="255" spans="1:8" x14ac:dyDescent="0.2">
      <c r="A255" s="128">
        <v>235</v>
      </c>
      <c r="B255" s="130">
        <f t="shared" si="12"/>
        <v>0</v>
      </c>
      <c r="C255" s="130"/>
      <c r="D255" s="130"/>
      <c r="E255" s="130"/>
      <c r="F255" s="130"/>
      <c r="G255" s="130" t="str">
        <f t="shared" si="10"/>
        <v>L255</v>
      </c>
      <c r="H255" s="140"/>
    </row>
    <row r="256" spans="1:8" x14ac:dyDescent="0.2">
      <c r="A256" s="128">
        <v>236</v>
      </c>
      <c r="B256" s="130">
        <f t="shared" si="12"/>
        <v>0</v>
      </c>
      <c r="C256" s="130"/>
      <c r="D256" s="130"/>
      <c r="E256" s="130"/>
      <c r="F256" s="130"/>
      <c r="G256" s="130" t="str">
        <f t="shared" si="10"/>
        <v>L256</v>
      </c>
      <c r="H256" s="140"/>
    </row>
    <row r="257" spans="1:8" x14ac:dyDescent="0.2">
      <c r="A257" s="128">
        <v>237</v>
      </c>
      <c r="B257" s="130" t="str">
        <f t="shared" si="12"/>
        <v>00h00-06h00</v>
      </c>
      <c r="C257" s="130" t="s">
        <v>334</v>
      </c>
      <c r="D257" s="130" t="str">
        <f>C257</f>
        <v>00.00-06.00h</v>
      </c>
      <c r="E257" s="131" t="s">
        <v>335</v>
      </c>
      <c r="F257" s="130" t="s">
        <v>336</v>
      </c>
      <c r="G257" s="130" t="str">
        <f t="shared" si="10"/>
        <v>L257</v>
      </c>
      <c r="H257" s="140"/>
    </row>
    <row r="258" spans="1:8" x14ac:dyDescent="0.2">
      <c r="A258" s="128">
        <v>238</v>
      </c>
      <c r="B258" s="130" t="str">
        <f t="shared" si="12"/>
        <v>06h00-20h00</v>
      </c>
      <c r="C258" s="130" t="s">
        <v>337</v>
      </c>
      <c r="D258" s="130" t="str">
        <f>C258</f>
        <v>06.00-20.00h</v>
      </c>
      <c r="E258" s="131" t="s">
        <v>338</v>
      </c>
      <c r="F258" s="130" t="s">
        <v>339</v>
      </c>
      <c r="G258" s="130" t="str">
        <f t="shared" si="10"/>
        <v>L258</v>
      </c>
      <c r="H258" s="140"/>
    </row>
    <row r="259" spans="1:8" x14ac:dyDescent="0.2">
      <c r="A259" s="128">
        <v>239</v>
      </c>
      <c r="B259" s="130" t="str">
        <f t="shared" si="12"/>
        <v>20h00-24h00</v>
      </c>
      <c r="C259" s="130" t="s">
        <v>340</v>
      </c>
      <c r="D259" s="130" t="str">
        <f>C259</f>
        <v>20.00-24.00h</v>
      </c>
      <c r="E259" s="131" t="s">
        <v>341</v>
      </c>
      <c r="F259" s="130" t="s">
        <v>342</v>
      </c>
      <c r="G259" s="130" t="str">
        <f t="shared" si="10"/>
        <v>L259</v>
      </c>
      <c r="H259" s="140"/>
    </row>
    <row r="260" spans="1:8" x14ac:dyDescent="0.2">
      <c r="A260" s="128">
        <v>240</v>
      </c>
      <c r="B260" s="130" t="str">
        <f t="shared" si="12"/>
        <v>total journalier y c. temp de trajet payé</v>
      </c>
      <c r="C260" s="131" t="s">
        <v>833</v>
      </c>
      <c r="D260" s="131" t="s">
        <v>834</v>
      </c>
      <c r="E260" s="131" t="s">
        <v>835</v>
      </c>
      <c r="F260" s="130"/>
      <c r="G260" s="130" t="str">
        <f t="shared" si="10"/>
        <v>L260</v>
      </c>
      <c r="H260" s="140"/>
    </row>
    <row r="261" spans="1:8" x14ac:dyDescent="0.2">
      <c r="A261" s="128">
        <v>241</v>
      </c>
      <c r="B261" s="130" t="str">
        <f t="shared" si="12"/>
        <v>total hebdomadaire</v>
      </c>
      <c r="C261" s="131" t="s">
        <v>343</v>
      </c>
      <c r="D261" s="130"/>
      <c r="E261" s="130" t="s">
        <v>815</v>
      </c>
      <c r="F261" s="130"/>
      <c r="G261" s="130" t="str">
        <f t="shared" si="10"/>
        <v>L261</v>
      </c>
      <c r="H261" s="140"/>
    </row>
    <row r="262" spans="1:8" x14ac:dyDescent="0.2">
      <c r="A262" s="128">
        <v>242</v>
      </c>
      <c r="B262" s="130">
        <f t="shared" si="12"/>
        <v>0</v>
      </c>
      <c r="C262" s="130"/>
      <c r="D262" s="130"/>
      <c r="E262" s="130"/>
      <c r="F262" s="130"/>
      <c r="G262" s="130" t="str">
        <f t="shared" si="10"/>
        <v>L262</v>
      </c>
      <c r="H262" s="140"/>
    </row>
    <row r="263" spans="1:8" x14ac:dyDescent="0.2">
      <c r="A263" s="128">
        <v>243</v>
      </c>
      <c r="B263" s="130" t="str">
        <f t="shared" si="12"/>
        <v>crédits et majorations</v>
      </c>
      <c r="C263" s="131" t="s">
        <v>175</v>
      </c>
      <c r="D263" s="130"/>
      <c r="E263" s="130" t="s">
        <v>735</v>
      </c>
      <c r="F263" s="130"/>
      <c r="G263" s="130" t="str">
        <f t="shared" si="10"/>
        <v>L263</v>
      </c>
      <c r="H263" s="140"/>
    </row>
    <row r="264" spans="1:8" ht="25.5" x14ac:dyDescent="0.2">
      <c r="A264" s="128">
        <v>244</v>
      </c>
      <c r="B264" s="130" t="str">
        <f t="shared" si="12"/>
        <v>1)  25% majoration temporelle pour depassement les heures maximales</v>
      </c>
      <c r="C264" s="131" t="str">
        <f>"1)   "&amp;TEXT(A_fldZ1,"#%")&amp;" Zeitzuschlag für Überschreitung Höchstarbeitszeit"</f>
        <v>1)   25% Zeitzuschlag für Überschreitung Höchstarbeitszeit</v>
      </c>
      <c r="D264" s="131" t="str">
        <f>"1)   "&amp;TEXT(A_fldZ1,"#%")&amp;" bonus for exceeding maximum hours"</f>
        <v>1)   25% bonus for exceeding maximum hours</v>
      </c>
      <c r="E264" s="131" t="s">
        <v>816</v>
      </c>
      <c r="F264" s="130" t="str">
        <f>"1)   "&amp;TEXT(A_fldZ1,"#%")&amp;""</f>
        <v>1)   25%</v>
      </c>
      <c r="G264" s="130" t="str">
        <f t="shared" si="10"/>
        <v>L264</v>
      </c>
      <c r="H264" s="140"/>
    </row>
    <row r="265" spans="1:8" ht="25.5" x14ac:dyDescent="0.2">
      <c r="A265" s="128">
        <v>245</v>
      </c>
      <c r="B265" s="130" t="str">
        <f t="shared" si="12"/>
        <v>2) 100% majoration temporelle pour travail de nuit</v>
      </c>
      <c r="C265" s="131" t="str">
        <f>"2) "&amp;TEXT(A_fldZ2,"#%")&amp;" Zeitzuschlag für Nachtarbeit"</f>
        <v>2) 100% Zeitzuschlag für Nachtarbeit</v>
      </c>
      <c r="D265" s="131" t="str">
        <f>"2) "&amp;TEXT(A_fldZ2,"#%")&amp;" bonus for nighttime work"</f>
        <v>2) 100% bonus for nighttime work</v>
      </c>
      <c r="E265" s="131" t="s">
        <v>817</v>
      </c>
      <c r="F265" s="130" t="str">
        <f>"2) "&amp;TEXT(A_fldZ2,"#%")&amp;""</f>
        <v>2) 100%</v>
      </c>
      <c r="G265" s="130" t="str">
        <f t="shared" si="10"/>
        <v>L265</v>
      </c>
      <c r="H265" s="140"/>
    </row>
    <row r="266" spans="1:8" ht="25.5" x14ac:dyDescent="0.2">
      <c r="A266" s="128">
        <v>246</v>
      </c>
      <c r="B266" s="130" t="str">
        <f t="shared" si="12"/>
        <v>3) 100% majoration temporelle pour travail du dimanche et jour férié</v>
      </c>
      <c r="C266" s="131" t="str">
        <f>"3) "&amp;TEXT(A_fldZ3,"#%")&amp;" Zeitzuschlag für Sonn- und Feiertagsarbeit"</f>
        <v>3) 100% Zeitzuschlag für Sonn- und Feiertagsarbeit</v>
      </c>
      <c r="D266" s="131" t="str">
        <f>"3) "&amp;TEXT(A_fldZ3,"#%")&amp;" bonus for Sunday and holiday work"</f>
        <v>3) 100% bonus for Sunday and holiday work</v>
      </c>
      <c r="E266" s="131" t="s">
        <v>818</v>
      </c>
      <c r="F266" s="130" t="str">
        <f>"3) "&amp;TEXT(A_fldZ3,"#%")&amp;""</f>
        <v>3) 100%</v>
      </c>
      <c r="G266" s="130" t="str">
        <f t="shared" si="10"/>
        <v>L266</v>
      </c>
      <c r="H266" s="140"/>
    </row>
    <row r="267" spans="1:8" x14ac:dyDescent="0.2">
      <c r="A267" s="128">
        <v>247</v>
      </c>
      <c r="B267" s="130">
        <f t="shared" si="12"/>
        <v>0</v>
      </c>
      <c r="C267" s="131" t="s">
        <v>294</v>
      </c>
      <c r="D267" s="130"/>
      <c r="E267" s="130"/>
      <c r="F267" s="130"/>
      <c r="G267" s="130" t="str">
        <f t="shared" si="10"/>
        <v>L267</v>
      </c>
      <c r="H267" s="140"/>
    </row>
    <row r="268" spans="1:8" x14ac:dyDescent="0.2">
      <c r="A268" s="128">
        <v>248</v>
      </c>
      <c r="B268" s="130" t="str">
        <f t="shared" si="12"/>
        <v>Majoration  "jf"</v>
      </c>
      <c r="C268" s="131" t="s">
        <v>344</v>
      </c>
      <c r="D268" s="130" t="s">
        <v>345</v>
      </c>
      <c r="E268" s="131" t="s">
        <v>346</v>
      </c>
      <c r="F268" s="130" t="s">
        <v>347</v>
      </c>
      <c r="G268" s="130" t="str">
        <f t="shared" si="10"/>
        <v>L268</v>
      </c>
      <c r="H268" s="140"/>
    </row>
    <row r="269" spans="1:8" x14ac:dyDescent="0.2">
      <c r="A269" s="128">
        <v>249</v>
      </c>
      <c r="B269" s="130" t="str">
        <f t="shared" si="12"/>
        <v>Majorations temp. 1)</v>
      </c>
      <c r="C269" s="131" t="s">
        <v>348</v>
      </c>
      <c r="D269" s="131" t="s">
        <v>349</v>
      </c>
      <c r="E269" s="131" t="s">
        <v>350</v>
      </c>
      <c r="F269" s="130" t="s">
        <v>351</v>
      </c>
      <c r="G269" s="130" t="str">
        <f t="shared" si="10"/>
        <v>L269</v>
      </c>
      <c r="H269" s="140"/>
    </row>
    <row r="270" spans="1:8" x14ac:dyDescent="0.2">
      <c r="A270" s="128">
        <v>250</v>
      </c>
      <c r="B270" s="130" t="str">
        <f t="shared" si="12"/>
        <v>Majorations temp. 2)</v>
      </c>
      <c r="C270" s="131" t="s">
        <v>352</v>
      </c>
      <c r="D270" s="131" t="s">
        <v>353</v>
      </c>
      <c r="E270" s="131" t="s">
        <v>354</v>
      </c>
      <c r="F270" s="130" t="s">
        <v>355</v>
      </c>
      <c r="G270" s="130" t="str">
        <f t="shared" si="10"/>
        <v>L270</v>
      </c>
      <c r="H270" s="140"/>
    </row>
    <row r="271" spans="1:8" x14ac:dyDescent="0.2">
      <c r="A271" s="128">
        <v>251</v>
      </c>
      <c r="B271" s="130" t="str">
        <f t="shared" si="12"/>
        <v>Majorations temp. 3)</v>
      </c>
      <c r="C271" s="131" t="s">
        <v>356</v>
      </c>
      <c r="D271" s="131" t="s">
        <v>357</v>
      </c>
      <c r="E271" s="131" t="s">
        <v>358</v>
      </c>
      <c r="F271" s="130" t="s">
        <v>359</v>
      </c>
      <c r="G271" s="130" t="str">
        <f t="shared" si="10"/>
        <v>L271</v>
      </c>
      <c r="H271" s="140"/>
    </row>
    <row r="272" spans="1:8" x14ac:dyDescent="0.2">
      <c r="A272" s="128">
        <v>252</v>
      </c>
      <c r="B272" s="130">
        <f t="shared" si="12"/>
        <v>0</v>
      </c>
      <c r="C272" s="130"/>
      <c r="D272" s="130"/>
      <c r="E272" s="130"/>
      <c r="F272" s="130"/>
      <c r="G272" s="130" t="str">
        <f t="shared" si="10"/>
        <v>L272</v>
      </c>
      <c r="H272" s="140"/>
    </row>
    <row r="273" spans="1:8" x14ac:dyDescent="0.2">
      <c r="A273" s="128">
        <v>253</v>
      </c>
      <c r="B273" s="130">
        <f t="shared" si="12"/>
        <v>0</v>
      </c>
      <c r="C273" s="131" t="s">
        <v>360</v>
      </c>
      <c r="D273" s="130"/>
      <c r="E273" s="130"/>
      <c r="F273" s="130"/>
      <c r="G273" s="130" t="str">
        <f t="shared" si="10"/>
        <v>L273</v>
      </c>
      <c r="H273" s="140"/>
    </row>
    <row r="274" spans="1:8" x14ac:dyDescent="0.2">
      <c r="A274" s="128">
        <v>254</v>
      </c>
      <c r="B274" s="130">
        <f t="shared" si="12"/>
        <v>0</v>
      </c>
      <c r="C274" s="130"/>
      <c r="D274" s="130"/>
      <c r="E274" s="130"/>
      <c r="F274" s="130"/>
      <c r="G274" s="130" t="str">
        <f t="shared" si="10"/>
        <v>L274</v>
      </c>
      <c r="H274" s="140"/>
    </row>
    <row r="275" spans="1:8" x14ac:dyDescent="0.2">
      <c r="A275" s="128">
        <v>255</v>
      </c>
      <c r="B275" s="130">
        <f t="shared" si="12"/>
        <v>0</v>
      </c>
      <c r="C275" s="130"/>
      <c r="D275" s="130"/>
      <c r="E275" s="130"/>
      <c r="F275" s="130"/>
      <c r="G275" s="130" t="str">
        <f t="shared" si="10"/>
        <v>L275</v>
      </c>
      <c r="H275" s="140"/>
    </row>
    <row r="276" spans="1:8" x14ac:dyDescent="0.2">
      <c r="A276" s="128">
        <v>256</v>
      </c>
      <c r="B276" s="130" t="str">
        <f t="shared" si="12"/>
        <v>vacances</v>
      </c>
      <c r="C276" s="130" t="s">
        <v>164</v>
      </c>
      <c r="D276" s="130"/>
      <c r="E276" s="130" t="s">
        <v>621</v>
      </c>
      <c r="F276" s="130"/>
      <c r="G276" s="130" t="str">
        <f t="shared" si="10"/>
        <v>L276</v>
      </c>
      <c r="H276" s="140"/>
    </row>
    <row r="277" spans="1:8" x14ac:dyDescent="0.2">
      <c r="A277" s="128">
        <v>257</v>
      </c>
      <c r="B277" s="130" t="str">
        <f t="shared" si="12"/>
        <v>compensation année passée</v>
      </c>
      <c r="C277" s="130" t="s">
        <v>361</v>
      </c>
      <c r="D277" s="130"/>
      <c r="E277" s="130" t="s">
        <v>732</v>
      </c>
      <c r="F277" s="130"/>
      <c r="G277" s="130" t="str">
        <f t="shared" si="10"/>
        <v>L277</v>
      </c>
      <c r="H277" s="140"/>
    </row>
    <row r="278" spans="1:8" x14ac:dyDescent="0.2">
      <c r="A278" s="128">
        <v>258</v>
      </c>
      <c r="B278" s="130" t="str">
        <f t="shared" si="12"/>
        <v>compensation année en cours</v>
      </c>
      <c r="C278" s="130" t="s">
        <v>211</v>
      </c>
      <c r="D278" s="130"/>
      <c r="E278" s="130" t="s">
        <v>733</v>
      </c>
      <c r="F278" s="130"/>
      <c r="G278" s="130" t="str">
        <f t="shared" si="10"/>
        <v>L278</v>
      </c>
      <c r="H278" s="140"/>
    </row>
    <row r="279" spans="1:8" x14ac:dyDescent="0.2">
      <c r="A279" s="128">
        <v>259</v>
      </c>
      <c r="B279" s="130" t="str">
        <f t="shared" si="12"/>
        <v>absences</v>
      </c>
      <c r="C279" s="130" t="s">
        <v>186</v>
      </c>
      <c r="D279" s="130"/>
      <c r="E279" s="130" t="s">
        <v>689</v>
      </c>
      <c r="F279" s="130"/>
      <c r="G279" s="130" t="str">
        <f t="shared" si="10"/>
        <v>L279</v>
      </c>
      <c r="H279" s="140"/>
    </row>
    <row r="280" spans="1:8" x14ac:dyDescent="0.2">
      <c r="A280" s="128">
        <v>260</v>
      </c>
      <c r="B280" s="130" t="str">
        <f t="shared" si="12"/>
        <v>maladie</v>
      </c>
      <c r="C280" s="130" t="s">
        <v>189</v>
      </c>
      <c r="D280" s="130"/>
      <c r="E280" s="130" t="s">
        <v>690</v>
      </c>
      <c r="F280" s="130"/>
      <c r="G280" s="130" t="str">
        <f t="shared" si="10"/>
        <v>L280</v>
      </c>
      <c r="H280" s="140"/>
    </row>
    <row r="281" spans="1:8" x14ac:dyDescent="0.2">
      <c r="A281" s="128">
        <v>261</v>
      </c>
      <c r="B281" s="130" t="str">
        <f t="shared" si="12"/>
        <v>accident</v>
      </c>
      <c r="C281" s="130" t="s">
        <v>192</v>
      </c>
      <c r="D281" s="130"/>
      <c r="E281" s="130" t="s">
        <v>691</v>
      </c>
      <c r="F281" s="130"/>
      <c r="G281" s="130" t="str">
        <f t="shared" ref="G281:G344" si="13">"L"&amp;ROW()</f>
        <v>L281</v>
      </c>
      <c r="H281" s="140"/>
    </row>
    <row r="282" spans="1:8" x14ac:dyDescent="0.2">
      <c r="A282" s="128">
        <v>262</v>
      </c>
      <c r="B282" s="130" t="str">
        <f t="shared" si="12"/>
        <v>absences de grossesse</v>
      </c>
      <c r="C282" s="131" t="s">
        <v>803</v>
      </c>
      <c r="D282" s="130"/>
      <c r="E282" s="130" t="s">
        <v>806</v>
      </c>
      <c r="F282" s="130"/>
      <c r="G282" s="130" t="str">
        <f t="shared" si="13"/>
        <v>L282</v>
      </c>
      <c r="H282" s="140"/>
    </row>
    <row r="283" spans="1:8" x14ac:dyDescent="0.2">
      <c r="A283" s="128">
        <v>263</v>
      </c>
      <c r="B283" s="130" t="str">
        <f t="shared" si="12"/>
        <v>Congé de maternité/paternité</v>
      </c>
      <c r="C283" s="131" t="s">
        <v>804</v>
      </c>
      <c r="D283" s="130"/>
      <c r="E283" s="130" t="s">
        <v>805</v>
      </c>
      <c r="F283" s="130"/>
      <c r="G283" s="130" t="str">
        <f t="shared" si="13"/>
        <v>L283</v>
      </c>
      <c r="H283" s="140"/>
    </row>
    <row r="284" spans="1:8" x14ac:dyDescent="0.2">
      <c r="A284" s="128">
        <v>264</v>
      </c>
      <c r="B284" s="130" t="str">
        <f t="shared" si="12"/>
        <v>militaire/promotion/protection civile</v>
      </c>
      <c r="C284" s="130" t="s">
        <v>810</v>
      </c>
      <c r="D284" s="130"/>
      <c r="E284" s="130" t="s">
        <v>693</v>
      </c>
      <c r="F284" s="130"/>
      <c r="G284" s="130" t="str">
        <f t="shared" si="13"/>
        <v>L284</v>
      </c>
      <c r="H284" s="140"/>
    </row>
    <row r="285" spans="1:8" x14ac:dyDescent="0.2">
      <c r="A285" s="128">
        <v>265</v>
      </c>
      <c r="B285" s="130" t="str">
        <f t="shared" ref="B285:B316" si="14">HLOOKUP($B$13,$C$21:$G$820,A285,FALSE)</f>
        <v>école professionelle</v>
      </c>
      <c r="C285" s="130" t="s">
        <v>201</v>
      </c>
      <c r="D285" s="130"/>
      <c r="E285" s="130" t="s">
        <v>694</v>
      </c>
      <c r="F285" s="130"/>
      <c r="G285" s="130" t="str">
        <f t="shared" si="13"/>
        <v>L285</v>
      </c>
      <c r="H285" s="140"/>
    </row>
    <row r="286" spans="1:8" x14ac:dyDescent="0.2">
      <c r="A286" s="128">
        <v>266</v>
      </c>
      <c r="B286" s="130" t="str">
        <f t="shared" si="14"/>
        <v>cours</v>
      </c>
      <c r="C286" s="130" t="s">
        <v>203</v>
      </c>
      <c r="D286" s="130"/>
      <c r="E286" s="130" t="s">
        <v>695</v>
      </c>
      <c r="F286" s="130"/>
      <c r="G286" s="130" t="str">
        <f t="shared" si="13"/>
        <v>L286</v>
      </c>
      <c r="H286" s="140"/>
    </row>
    <row r="287" spans="1:8" x14ac:dyDescent="0.2">
      <c r="A287" s="128">
        <v>267</v>
      </c>
      <c r="B287" s="130" t="str">
        <f t="shared" si="14"/>
        <v>chômage partiel et intempéries</v>
      </c>
      <c r="C287" s="130" t="s">
        <v>362</v>
      </c>
      <c r="D287" s="130"/>
      <c r="E287" s="130" t="s">
        <v>696</v>
      </c>
      <c r="F287" s="130"/>
      <c r="G287" s="130" t="str">
        <f t="shared" si="13"/>
        <v>L287</v>
      </c>
      <c r="H287" s="140"/>
    </row>
    <row r="288" spans="1:8" x14ac:dyDescent="0.2">
      <c r="A288" s="128">
        <v>268</v>
      </c>
      <c r="B288" s="130" t="str">
        <f t="shared" si="14"/>
        <v>vacances non payées</v>
      </c>
      <c r="C288" s="130" t="s">
        <v>223</v>
      </c>
      <c r="D288" s="130"/>
      <c r="E288" s="130" t="s">
        <v>697</v>
      </c>
      <c r="F288" s="130"/>
      <c r="G288" s="130" t="str">
        <f t="shared" si="13"/>
        <v>L288</v>
      </c>
      <c r="H288" s="140"/>
    </row>
    <row r="289" spans="1:8" x14ac:dyDescent="0.2">
      <c r="A289" s="128">
        <v>269</v>
      </c>
      <c r="B289" s="130" t="str">
        <f t="shared" si="14"/>
        <v>heures manquantes</v>
      </c>
      <c r="C289" s="130" t="s">
        <v>363</v>
      </c>
      <c r="D289" s="130"/>
      <c r="E289" s="130" t="s">
        <v>698</v>
      </c>
      <c r="F289" s="130"/>
      <c r="G289" s="130" t="str">
        <f t="shared" si="13"/>
        <v>L289</v>
      </c>
      <c r="H289" s="140"/>
    </row>
    <row r="290" spans="1:8" x14ac:dyDescent="0.2">
      <c r="A290" s="128">
        <v>270</v>
      </c>
      <c r="B290" s="130" t="str">
        <f t="shared" si="14"/>
        <v>heures inproductives totales</v>
      </c>
      <c r="C290" s="131" t="s">
        <v>364</v>
      </c>
      <c r="D290" s="130"/>
      <c r="E290" s="130" t="s">
        <v>700</v>
      </c>
      <c r="F290" s="130"/>
      <c r="G290" s="130" t="str">
        <f t="shared" si="13"/>
        <v>L290</v>
      </c>
      <c r="H290" s="140"/>
    </row>
    <row r="291" spans="1:8" x14ac:dyDescent="0.2">
      <c r="A291" s="128">
        <v>271</v>
      </c>
      <c r="B291" s="130" t="str">
        <f t="shared" si="14"/>
        <v>contrôle et corrections</v>
      </c>
      <c r="C291" s="131" t="s">
        <v>365</v>
      </c>
      <c r="D291" s="130"/>
      <c r="E291" s="130" t="s">
        <v>699</v>
      </c>
      <c r="F291" s="130"/>
      <c r="G291" s="130" t="str">
        <f t="shared" si="13"/>
        <v>L291</v>
      </c>
      <c r="H291" s="140"/>
    </row>
    <row r="292" spans="1:8" ht="25.5" x14ac:dyDescent="0.2">
      <c r="A292" s="128">
        <v>272</v>
      </c>
      <c r="B292" s="130" t="str">
        <f t="shared" si="14"/>
        <v>veuillez cocher les jours de correction avec "x"</v>
      </c>
      <c r="C292" s="131" t="s">
        <v>366</v>
      </c>
      <c r="D292" s="130"/>
      <c r="E292" s="130" t="s">
        <v>724</v>
      </c>
      <c r="F292" s="130"/>
      <c r="G292" s="130" t="str">
        <f t="shared" si="13"/>
        <v>L292</v>
      </c>
      <c r="H292" s="140"/>
    </row>
    <row r="293" spans="1:8" x14ac:dyDescent="0.2">
      <c r="A293" s="128">
        <v>273</v>
      </c>
      <c r="B293" s="130">
        <f t="shared" si="14"/>
        <v>0</v>
      </c>
      <c r="C293" s="130"/>
      <c r="D293" s="130"/>
      <c r="E293" s="130"/>
      <c r="F293" s="130"/>
      <c r="G293" s="130" t="str">
        <f t="shared" si="13"/>
        <v>L293</v>
      </c>
      <c r="H293" s="140"/>
    </row>
    <row r="294" spans="1:8" x14ac:dyDescent="0.2">
      <c r="A294" s="128">
        <v>274</v>
      </c>
      <c r="B294" s="130" t="str">
        <f t="shared" si="14"/>
        <v>jour de carence</v>
      </c>
      <c r="C294" s="131" t="s">
        <v>367</v>
      </c>
      <c r="D294" s="130"/>
      <c r="E294" s="130" t="s">
        <v>701</v>
      </c>
      <c r="F294" s="130"/>
      <c r="G294" s="130" t="str">
        <f t="shared" si="13"/>
        <v>L294</v>
      </c>
      <c r="H294" s="140"/>
    </row>
    <row r="295" spans="1:8" x14ac:dyDescent="0.2">
      <c r="A295" s="128">
        <v>275</v>
      </c>
      <c r="B295" s="130" t="str">
        <f t="shared" si="14"/>
        <v>exclure jour</v>
      </c>
      <c r="C295" s="131" t="s">
        <v>368</v>
      </c>
      <c r="D295" s="130"/>
      <c r="E295" s="130" t="s">
        <v>725</v>
      </c>
      <c r="F295" s="130"/>
      <c r="G295" s="130" t="str">
        <f t="shared" si="13"/>
        <v>L295</v>
      </c>
      <c r="H295" s="140"/>
    </row>
    <row r="296" spans="1:8" x14ac:dyDescent="0.2">
      <c r="A296" s="128">
        <v>276</v>
      </c>
      <c r="B296" s="130">
        <f t="shared" si="14"/>
        <v>0</v>
      </c>
      <c r="C296" s="130"/>
      <c r="D296" s="130"/>
      <c r="E296" s="130"/>
      <c r="F296" s="130"/>
      <c r="G296" s="130" t="str">
        <f t="shared" si="13"/>
        <v>L296</v>
      </c>
      <c r="H296" s="140"/>
    </row>
    <row r="297" spans="1:8" x14ac:dyDescent="0.2">
      <c r="A297" s="128">
        <v>277</v>
      </c>
      <c r="B297" s="130" t="str">
        <f t="shared" si="14"/>
        <v>corrections manuelles</v>
      </c>
      <c r="C297" s="131" t="s">
        <v>369</v>
      </c>
      <c r="D297" s="130"/>
      <c r="E297" s="130" t="s">
        <v>702</v>
      </c>
      <c r="F297" s="130"/>
      <c r="G297" s="130" t="str">
        <f t="shared" si="13"/>
        <v>L297</v>
      </c>
      <c r="H297" s="140"/>
    </row>
    <row r="298" spans="1:8" x14ac:dyDescent="0.2">
      <c r="A298" s="128">
        <v>278</v>
      </c>
      <c r="B298" s="130" t="str">
        <f t="shared" si="14"/>
        <v>heures payées se année passée</v>
      </c>
      <c r="C298" s="131" t="s">
        <v>370</v>
      </c>
      <c r="D298" s="130"/>
      <c r="E298" s="130" t="s">
        <v>847</v>
      </c>
      <c r="F298" s="130"/>
      <c r="G298" s="130" t="str">
        <f t="shared" si="13"/>
        <v>L298</v>
      </c>
      <c r="H298" s="140"/>
    </row>
    <row r="299" spans="1:8" ht="25.5" x14ac:dyDescent="0.2">
      <c r="A299" s="128">
        <v>279</v>
      </c>
      <c r="B299" s="130" t="str">
        <f t="shared" si="14"/>
        <v>heures payées année en cours (heures supplémentaires)</v>
      </c>
      <c r="C299" s="131" t="s">
        <v>371</v>
      </c>
      <c r="D299" s="130"/>
      <c r="E299" s="130" t="s">
        <v>734</v>
      </c>
      <c r="F299" s="130"/>
      <c r="G299" s="130" t="str">
        <f t="shared" si="13"/>
        <v>L299</v>
      </c>
      <c r="H299" s="140"/>
    </row>
    <row r="300" spans="1:8" x14ac:dyDescent="0.2">
      <c r="A300" s="128">
        <v>280</v>
      </c>
      <c r="B300" s="130" t="str">
        <f t="shared" si="14"/>
        <v>vacances avoir / déduction</v>
      </c>
      <c r="C300" s="131" t="s">
        <v>372</v>
      </c>
      <c r="D300" s="130"/>
      <c r="E300" s="130" t="s">
        <v>726</v>
      </c>
      <c r="F300" s="130"/>
      <c r="G300" s="130" t="str">
        <f t="shared" si="13"/>
        <v>L300</v>
      </c>
      <c r="H300" s="140"/>
    </row>
    <row r="301" spans="1:8" x14ac:dyDescent="0.2">
      <c r="A301" s="128">
        <v>281</v>
      </c>
      <c r="B301" s="130">
        <f t="shared" si="14"/>
        <v>0</v>
      </c>
      <c r="C301" s="130"/>
      <c r="D301" s="130"/>
      <c r="E301" s="130"/>
      <c r="F301" s="130"/>
      <c r="G301" s="130" t="str">
        <f t="shared" si="13"/>
        <v>L301</v>
      </c>
      <c r="H301" s="140"/>
    </row>
    <row r="302" spans="1:8" x14ac:dyDescent="0.2">
      <c r="A302" s="128">
        <v>282</v>
      </c>
      <c r="B302" s="130" t="str">
        <f t="shared" si="14"/>
        <v>remarques</v>
      </c>
      <c r="C302" s="56" t="s">
        <v>295</v>
      </c>
      <c r="E302" s="123" t="s">
        <v>623</v>
      </c>
      <c r="F302" s="130"/>
      <c r="G302" s="130" t="str">
        <f t="shared" si="13"/>
        <v>L302</v>
      </c>
      <c r="H302" s="140"/>
    </row>
    <row r="303" spans="1:8" x14ac:dyDescent="0.2">
      <c r="A303" s="128">
        <v>283</v>
      </c>
      <c r="B303" s="130">
        <f t="shared" si="14"/>
        <v>0</v>
      </c>
      <c r="F303" s="130"/>
      <c r="G303" s="130" t="str">
        <f t="shared" si="13"/>
        <v>L303</v>
      </c>
      <c r="H303" s="140"/>
    </row>
    <row r="304" spans="1:8" ht="25.5" x14ac:dyDescent="0.2">
      <c r="A304" s="128">
        <v>284</v>
      </c>
      <c r="B304" s="130" t="str">
        <f t="shared" si="14"/>
        <v>J'ai contrôlé les comptes mensuels et vérifié leur exactitude.</v>
      </c>
      <c r="C304" s="56" t="s">
        <v>373</v>
      </c>
      <c r="E304" s="123" t="s">
        <v>727</v>
      </c>
      <c r="F304" s="130"/>
      <c r="G304" s="130" t="str">
        <f t="shared" si="13"/>
        <v>L304</v>
      </c>
      <c r="H304" s="140"/>
    </row>
    <row r="305" spans="1:8" x14ac:dyDescent="0.2">
      <c r="A305" s="128">
        <v>285</v>
      </c>
      <c r="B305" s="130">
        <f t="shared" si="14"/>
        <v>0</v>
      </c>
      <c r="F305" s="130"/>
      <c r="G305" s="130" t="str">
        <f t="shared" si="13"/>
        <v>L305</v>
      </c>
      <c r="H305" s="140"/>
    </row>
    <row r="306" spans="1:8" x14ac:dyDescent="0.2">
      <c r="A306" s="128">
        <v>286</v>
      </c>
      <c r="B306" s="130" t="str">
        <f t="shared" si="14"/>
        <v>visa employé</v>
      </c>
      <c r="C306" s="56" t="s">
        <v>296</v>
      </c>
      <c r="E306" s="123" t="s">
        <v>624</v>
      </c>
      <c r="F306" s="130"/>
      <c r="G306" s="130" t="str">
        <f t="shared" si="13"/>
        <v>L306</v>
      </c>
      <c r="H306" s="140"/>
    </row>
    <row r="307" spans="1:8" x14ac:dyDescent="0.2">
      <c r="A307" s="128">
        <v>287</v>
      </c>
      <c r="B307" s="130" t="str">
        <f t="shared" si="14"/>
        <v>visa supérieur hiérarchique</v>
      </c>
      <c r="C307" s="56" t="s">
        <v>297</v>
      </c>
      <c r="E307" s="123" t="s">
        <v>625</v>
      </c>
      <c r="F307" s="130"/>
      <c r="G307" s="130" t="str">
        <f t="shared" si="13"/>
        <v>L307</v>
      </c>
      <c r="H307" s="140"/>
    </row>
    <row r="308" spans="1:8" x14ac:dyDescent="0.2">
      <c r="A308" s="128">
        <v>288</v>
      </c>
      <c r="B308" s="130" t="str">
        <f t="shared" si="14"/>
        <v>date</v>
      </c>
      <c r="C308" s="56" t="s">
        <v>125</v>
      </c>
      <c r="E308" s="123" t="s">
        <v>626</v>
      </c>
      <c r="F308" s="130"/>
      <c r="G308" s="130" t="str">
        <f t="shared" si="13"/>
        <v>L308</v>
      </c>
      <c r="H308" s="140"/>
    </row>
    <row r="309" spans="1:8" x14ac:dyDescent="0.2">
      <c r="A309" s="128">
        <v>289</v>
      </c>
      <c r="B309" s="130">
        <f t="shared" si="14"/>
        <v>0</v>
      </c>
      <c r="F309" s="130"/>
      <c r="G309" s="130" t="str">
        <f t="shared" si="13"/>
        <v>L309</v>
      </c>
      <c r="H309" s="140"/>
    </row>
    <row r="310" spans="1:8" x14ac:dyDescent="0.2">
      <c r="A310" s="128">
        <v>290</v>
      </c>
      <c r="B310" s="130" t="str">
        <f t="shared" si="14"/>
        <v>arrêts définis par l'entreprise</v>
      </c>
      <c r="C310" s="56" t="s">
        <v>598</v>
      </c>
      <c r="E310" s="123" t="s">
        <v>692</v>
      </c>
      <c r="F310" s="130"/>
      <c r="G310" s="130" t="str">
        <f t="shared" si="13"/>
        <v>L310</v>
      </c>
      <c r="H310" s="140"/>
    </row>
    <row r="311" spans="1:8" x14ac:dyDescent="0.2">
      <c r="A311" s="128">
        <v>291</v>
      </c>
      <c r="B311" s="130">
        <f t="shared" si="14"/>
        <v>0</v>
      </c>
      <c r="F311" s="130"/>
      <c r="G311" s="130" t="str">
        <f t="shared" si="13"/>
        <v>L311</v>
      </c>
      <c r="H311" s="140"/>
    </row>
    <row r="312" spans="1:8" x14ac:dyDescent="0.2">
      <c r="A312" s="128">
        <v>292</v>
      </c>
      <c r="B312" s="130">
        <f t="shared" si="14"/>
        <v>0</v>
      </c>
      <c r="F312" s="130"/>
      <c r="G312" s="130" t="str">
        <f t="shared" si="13"/>
        <v>L312</v>
      </c>
      <c r="H312" s="140"/>
    </row>
    <row r="313" spans="1:8" x14ac:dyDescent="0.2">
      <c r="A313" s="128">
        <v>293</v>
      </c>
      <c r="B313" s="130" t="str">
        <f t="shared" si="14"/>
        <v>temps de trajet (total)</v>
      </c>
      <c r="C313" s="56" t="s">
        <v>832</v>
      </c>
      <c r="D313" s="56" t="s">
        <v>836</v>
      </c>
      <c r="E313" s="56" t="s">
        <v>837</v>
      </c>
      <c r="F313" s="130"/>
      <c r="G313" s="130" t="str">
        <f t="shared" si="13"/>
        <v>L313</v>
      </c>
      <c r="H313" s="140"/>
    </row>
    <row r="314" spans="1:8" x14ac:dyDescent="0.2">
      <c r="A314" s="128">
        <v>294</v>
      </c>
      <c r="B314" s="130" t="str">
        <f t="shared" si="14"/>
        <v>déduction de temps de trajet</v>
      </c>
      <c r="C314" s="56" t="s">
        <v>840</v>
      </c>
      <c r="D314" s="56" t="s">
        <v>838</v>
      </c>
      <c r="E314" s="56" t="s">
        <v>839</v>
      </c>
      <c r="F314" s="130"/>
      <c r="G314" s="130" t="str">
        <f t="shared" si="13"/>
        <v>L314</v>
      </c>
      <c r="H314" s="140"/>
    </row>
    <row r="315" spans="1:8" x14ac:dyDescent="0.2">
      <c r="A315" s="128">
        <v>295</v>
      </c>
      <c r="B315" s="130" t="str">
        <f t="shared" si="14"/>
        <v>Total</v>
      </c>
      <c r="C315" s="56" t="s">
        <v>152</v>
      </c>
      <c r="D315" s="56" t="s">
        <v>152</v>
      </c>
      <c r="E315" s="56" t="s">
        <v>152</v>
      </c>
      <c r="F315" s="131" t="s">
        <v>152</v>
      </c>
      <c r="G315" s="130" t="str">
        <f t="shared" si="13"/>
        <v>L315</v>
      </c>
      <c r="H315" s="140"/>
    </row>
    <row r="316" spans="1:8" x14ac:dyDescent="0.2">
      <c r="A316" s="128">
        <v>296</v>
      </c>
      <c r="B316" s="130">
        <f t="shared" si="14"/>
        <v>0</v>
      </c>
      <c r="F316" s="130"/>
      <c r="G316" s="130" t="str">
        <f t="shared" si="13"/>
        <v>L316</v>
      </c>
      <c r="H316" s="140"/>
    </row>
    <row r="317" spans="1:8" x14ac:dyDescent="0.2">
      <c r="A317" s="128">
        <v>297</v>
      </c>
      <c r="B317" s="130">
        <f t="shared" ref="B317:B319" si="15">HLOOKUP($B$13,$C$21:$G$820,A317,FALSE)</f>
        <v>0</v>
      </c>
      <c r="F317" s="130"/>
      <c r="G317" s="130" t="str">
        <f t="shared" si="13"/>
        <v>L317</v>
      </c>
      <c r="H317" s="140"/>
    </row>
    <row r="318" spans="1:8" x14ac:dyDescent="0.2">
      <c r="A318" s="128">
        <v>298</v>
      </c>
      <c r="B318" s="130">
        <f t="shared" si="15"/>
        <v>0</v>
      </c>
      <c r="F318" s="130"/>
      <c r="G318" s="130" t="str">
        <f t="shared" si="13"/>
        <v>L318</v>
      </c>
      <c r="H318" s="140"/>
    </row>
    <row r="319" spans="1:8" x14ac:dyDescent="0.2">
      <c r="A319" s="128">
        <v>299</v>
      </c>
      <c r="B319" s="130">
        <f t="shared" si="15"/>
        <v>0</v>
      </c>
      <c r="F319" s="130"/>
      <c r="G319" s="130" t="str">
        <f t="shared" si="13"/>
        <v>L319</v>
      </c>
      <c r="H319" s="140"/>
    </row>
    <row r="320" spans="1:8" x14ac:dyDescent="0.2">
      <c r="A320" s="128">
        <v>300</v>
      </c>
      <c r="B320" s="132" t="s">
        <v>257</v>
      </c>
      <c r="C320" s="129"/>
      <c r="D320" s="129"/>
      <c r="E320" s="129"/>
      <c r="F320" s="129"/>
      <c r="G320" s="129" t="str">
        <f t="shared" si="13"/>
        <v>L320</v>
      </c>
      <c r="H320" s="139"/>
    </row>
    <row r="321" spans="1:8" x14ac:dyDescent="0.2">
      <c r="A321" s="128">
        <v>301</v>
      </c>
      <c r="B321" s="130" t="str">
        <f t="shared" ref="B321:B352" si="16">HLOOKUP($B$13,$C$21:$G$820,A321,FALSE)</f>
        <v xml:space="preserve">Contrôle des heures pour </v>
      </c>
      <c r="C321" s="56" t="s">
        <v>374</v>
      </c>
      <c r="E321" s="56" t="s">
        <v>747</v>
      </c>
      <c r="F321" s="130"/>
      <c r="G321" s="130" t="str">
        <f t="shared" si="13"/>
        <v>L321</v>
      </c>
    </row>
    <row r="322" spans="1:8" x14ac:dyDescent="0.2">
      <c r="A322" s="128">
        <v>302</v>
      </c>
      <c r="B322" s="130" t="str">
        <f t="shared" si="16"/>
        <v>Report annuel</v>
      </c>
      <c r="C322" s="56" t="s">
        <v>375</v>
      </c>
      <c r="E322" s="56" t="s">
        <v>748</v>
      </c>
      <c r="F322" s="130"/>
      <c r="G322" s="130" t="str">
        <f t="shared" si="13"/>
        <v>L322</v>
      </c>
    </row>
    <row r="323" spans="1:8" x14ac:dyDescent="0.2">
      <c r="A323" s="128">
        <v>303</v>
      </c>
      <c r="B323" s="130">
        <f t="shared" si="16"/>
        <v>0</v>
      </c>
      <c r="C323" s="56" t="s">
        <v>294</v>
      </c>
      <c r="F323" s="130"/>
      <c r="G323" s="130" t="str">
        <f t="shared" si="13"/>
        <v>L323</v>
      </c>
    </row>
    <row r="324" spans="1:8" x14ac:dyDescent="0.2">
      <c r="A324" s="128">
        <v>304</v>
      </c>
      <c r="B324" s="130">
        <f t="shared" si="16"/>
        <v>0</v>
      </c>
      <c r="C324" s="56" t="s">
        <v>294</v>
      </c>
      <c r="F324" s="130"/>
      <c r="G324" s="130" t="str">
        <f t="shared" si="13"/>
        <v>L324</v>
      </c>
    </row>
    <row r="325" spans="1:8" x14ac:dyDescent="0.2">
      <c r="A325" s="128">
        <v>305</v>
      </c>
      <c r="B325" s="130" t="str">
        <f t="shared" si="16"/>
        <v>Résumé</v>
      </c>
      <c r="C325" s="131" t="s">
        <v>376</v>
      </c>
      <c r="D325" s="130" t="s">
        <v>377</v>
      </c>
      <c r="E325" s="131" t="s">
        <v>378</v>
      </c>
      <c r="F325" s="130" t="str">
        <f>C325</f>
        <v>Zusammenstellung</v>
      </c>
      <c r="G325" s="130" t="str">
        <f t="shared" si="13"/>
        <v>L325</v>
      </c>
    </row>
    <row r="326" spans="1:8" x14ac:dyDescent="0.2">
      <c r="A326" s="128">
        <v>306</v>
      </c>
      <c r="B326" s="130">
        <f t="shared" si="16"/>
        <v>0</v>
      </c>
      <c r="C326" s="56" t="s">
        <v>294</v>
      </c>
      <c r="F326" s="130"/>
      <c r="G326" s="130" t="str">
        <f t="shared" si="13"/>
        <v>L326</v>
      </c>
    </row>
    <row r="327" spans="1:8" x14ac:dyDescent="0.2">
      <c r="A327" s="128">
        <v>307</v>
      </c>
      <c r="B327" s="130">
        <f t="shared" si="16"/>
        <v>0</v>
      </c>
      <c r="C327" s="56" t="s">
        <v>294</v>
      </c>
      <c r="F327" s="130"/>
      <c r="G327" s="130" t="str">
        <f t="shared" si="13"/>
        <v>L327</v>
      </c>
    </row>
    <row r="328" spans="1:8" x14ac:dyDescent="0.2">
      <c r="A328" s="128">
        <v>308</v>
      </c>
      <c r="B328" s="130" t="str">
        <f t="shared" si="16"/>
        <v>taux d'occupation (%)</v>
      </c>
      <c r="C328" s="56" t="s">
        <v>325</v>
      </c>
      <c r="E328" s="123" t="s">
        <v>622</v>
      </c>
      <c r="F328" s="130"/>
      <c r="G328" s="130" t="str">
        <f t="shared" si="13"/>
        <v>L328</v>
      </c>
    </row>
    <row r="329" spans="1:8" x14ac:dyDescent="0.2">
      <c r="A329" s="128">
        <v>309</v>
      </c>
      <c r="B329" s="130">
        <f t="shared" si="16"/>
        <v>0</v>
      </c>
      <c r="C329" s="56" t="s">
        <v>294</v>
      </c>
      <c r="G329" s="130" t="str">
        <f t="shared" si="13"/>
        <v>L329</v>
      </c>
      <c r="H329" s="140"/>
    </row>
    <row r="330" spans="1:8" x14ac:dyDescent="0.2">
      <c r="A330" s="128">
        <v>310</v>
      </c>
      <c r="B330" s="130">
        <f t="shared" si="16"/>
        <v>0</v>
      </c>
      <c r="C330" s="56" t="s">
        <v>294</v>
      </c>
      <c r="G330" s="130" t="str">
        <f t="shared" si="13"/>
        <v>L330</v>
      </c>
      <c r="H330" s="140"/>
    </row>
    <row r="331" spans="1:8" x14ac:dyDescent="0.2">
      <c r="A331" s="128">
        <v>311</v>
      </c>
      <c r="B331" s="130" t="str">
        <f t="shared" si="16"/>
        <v>Heures théoriques selon CCT</v>
      </c>
      <c r="C331" s="131" t="s">
        <v>379</v>
      </c>
      <c r="D331" s="130" t="s">
        <v>380</v>
      </c>
      <c r="E331" s="131" t="s">
        <v>381</v>
      </c>
      <c r="F331" s="130" t="s">
        <v>382</v>
      </c>
      <c r="G331" s="130" t="str">
        <f t="shared" si="13"/>
        <v>L331</v>
      </c>
      <c r="H331" s="140"/>
    </row>
    <row r="332" spans="1:8" x14ac:dyDescent="0.2">
      <c r="A332" s="128">
        <v>312</v>
      </c>
      <c r="B332" s="130">
        <f t="shared" si="16"/>
        <v>0</v>
      </c>
      <c r="C332" s="56" t="s">
        <v>294</v>
      </c>
      <c r="G332" s="130" t="str">
        <f t="shared" si="13"/>
        <v>L332</v>
      </c>
      <c r="H332" s="140"/>
    </row>
    <row r="333" spans="1:8" x14ac:dyDescent="0.2">
      <c r="A333" s="128">
        <v>313</v>
      </c>
      <c r="B333" s="130" t="str">
        <f t="shared" si="16"/>
        <v>Total heures productives</v>
      </c>
      <c r="C333" s="131" t="s">
        <v>383</v>
      </c>
      <c r="D333" s="130" t="s">
        <v>384</v>
      </c>
      <c r="E333" s="131" t="s">
        <v>385</v>
      </c>
      <c r="F333" s="130" t="s">
        <v>386</v>
      </c>
      <c r="G333" s="130" t="str">
        <f t="shared" si="13"/>
        <v>L333</v>
      </c>
      <c r="H333" s="140"/>
    </row>
    <row r="334" spans="1:8" x14ac:dyDescent="0.2">
      <c r="A334" s="128">
        <v>314</v>
      </c>
      <c r="B334" s="130" t="str">
        <f t="shared" si="16"/>
        <v>travail de jour 06.00 - 20.00h</v>
      </c>
      <c r="C334" s="131" t="s">
        <v>600</v>
      </c>
      <c r="D334" s="130" t="s">
        <v>602</v>
      </c>
      <c r="E334" s="130" t="s">
        <v>729</v>
      </c>
      <c r="F334" s="130" t="s">
        <v>603</v>
      </c>
      <c r="G334" s="130" t="str">
        <f t="shared" si="13"/>
        <v>L334</v>
      </c>
      <c r="H334" s="140"/>
    </row>
    <row r="335" spans="1:8" x14ac:dyDescent="0.2">
      <c r="A335" s="128">
        <v>315</v>
      </c>
      <c r="B335" s="130">
        <f t="shared" si="16"/>
        <v>0</v>
      </c>
      <c r="C335" s="56" t="s">
        <v>294</v>
      </c>
      <c r="G335" s="130" t="str">
        <f t="shared" si="13"/>
        <v>L335</v>
      </c>
      <c r="H335" s="140"/>
    </row>
    <row r="336" spans="1:8" x14ac:dyDescent="0.2">
      <c r="A336" s="128">
        <v>316</v>
      </c>
      <c r="B336" s="130" t="str">
        <f t="shared" si="16"/>
        <v>travail de nuit 20.00 - 06.00h</v>
      </c>
      <c r="C336" s="131" t="s">
        <v>599</v>
      </c>
      <c r="D336" s="130" t="s">
        <v>601</v>
      </c>
      <c r="E336" s="131" t="s">
        <v>730</v>
      </c>
      <c r="F336" s="130" t="s">
        <v>604</v>
      </c>
      <c r="G336" s="130" t="str">
        <f t="shared" si="13"/>
        <v>L336</v>
      </c>
      <c r="H336" s="140"/>
    </row>
    <row r="337" spans="1:8" x14ac:dyDescent="0.2">
      <c r="A337" s="128">
        <v>317</v>
      </c>
      <c r="B337" s="130">
        <f t="shared" si="16"/>
        <v>0</v>
      </c>
      <c r="C337" s="56" t="s">
        <v>294</v>
      </c>
      <c r="G337" s="130" t="str">
        <f t="shared" si="13"/>
        <v>L337</v>
      </c>
      <c r="H337" s="140"/>
    </row>
    <row r="338" spans="1:8" x14ac:dyDescent="0.2">
      <c r="A338" s="128">
        <v>318</v>
      </c>
      <c r="B338" s="130" t="str">
        <f t="shared" si="16"/>
        <v>Majorations temporelles</v>
      </c>
      <c r="C338" s="131" t="s">
        <v>388</v>
      </c>
      <c r="D338" s="131" t="s">
        <v>389</v>
      </c>
      <c r="E338" s="131" t="s">
        <v>390</v>
      </c>
      <c r="F338" s="130" t="s">
        <v>391</v>
      </c>
      <c r="G338" s="130" t="str">
        <f t="shared" si="13"/>
        <v>L338</v>
      </c>
      <c r="H338" s="140"/>
    </row>
    <row r="339" spans="1:8" x14ac:dyDescent="0.2">
      <c r="A339" s="128">
        <v>319</v>
      </c>
      <c r="B339" s="130" t="str">
        <f t="shared" si="16"/>
        <v>depassement des heures maximales</v>
      </c>
      <c r="C339" s="131" t="s">
        <v>392</v>
      </c>
      <c r="D339" s="131" t="s">
        <v>393</v>
      </c>
      <c r="E339" s="131" t="s">
        <v>394</v>
      </c>
      <c r="F339" s="131" t="s">
        <v>395</v>
      </c>
      <c r="G339" s="130" t="str">
        <f t="shared" si="13"/>
        <v>L339</v>
      </c>
      <c r="H339" s="140"/>
    </row>
    <row r="340" spans="1:8" x14ac:dyDescent="0.2">
      <c r="A340" s="128">
        <v>320</v>
      </c>
      <c r="B340" s="130">
        <f t="shared" si="16"/>
        <v>0</v>
      </c>
      <c r="C340" s="56" t="s">
        <v>294</v>
      </c>
      <c r="G340" s="130" t="str">
        <f t="shared" si="13"/>
        <v>L340</v>
      </c>
      <c r="H340" s="140"/>
    </row>
    <row r="341" spans="1:8" x14ac:dyDescent="0.2">
      <c r="A341" s="128">
        <v>321</v>
      </c>
      <c r="B341" s="130" t="str">
        <f t="shared" si="16"/>
        <v>nuit, dimanche et jour férié</v>
      </c>
      <c r="C341" s="131" t="s">
        <v>396</v>
      </c>
      <c r="D341" s="131" t="s">
        <v>397</v>
      </c>
      <c r="E341" s="131" t="s">
        <v>387</v>
      </c>
      <c r="F341" s="130" t="s">
        <v>398</v>
      </c>
      <c r="G341" s="130" t="str">
        <f t="shared" si="13"/>
        <v>L341</v>
      </c>
      <c r="H341" s="140"/>
    </row>
    <row r="342" spans="1:8" x14ac:dyDescent="0.2">
      <c r="A342" s="128">
        <v>322</v>
      </c>
      <c r="B342" s="130">
        <f t="shared" si="16"/>
        <v>0</v>
      </c>
      <c r="G342" s="130" t="str">
        <f t="shared" si="13"/>
        <v>L342</v>
      </c>
      <c r="H342" s="140"/>
    </row>
    <row r="343" spans="1:8" x14ac:dyDescent="0.2">
      <c r="A343" s="128">
        <v>323</v>
      </c>
      <c r="B343" s="130" t="str">
        <f t="shared" si="16"/>
        <v>Heures inproductives</v>
      </c>
      <c r="C343" s="131" t="s">
        <v>360</v>
      </c>
      <c r="D343" s="130" t="s">
        <v>399</v>
      </c>
      <c r="E343" s="131" t="s">
        <v>400</v>
      </c>
      <c r="F343" s="130" t="s">
        <v>401</v>
      </c>
      <c r="G343" s="130" t="str">
        <f t="shared" si="13"/>
        <v>L343</v>
      </c>
    </row>
    <row r="344" spans="1:8" x14ac:dyDescent="0.2">
      <c r="A344" s="128">
        <v>324</v>
      </c>
      <c r="B344" s="130">
        <f t="shared" si="16"/>
        <v>0</v>
      </c>
      <c r="G344" s="130" t="str">
        <f t="shared" si="13"/>
        <v>L344</v>
      </c>
    </row>
    <row r="345" spans="1:8" x14ac:dyDescent="0.2">
      <c r="A345" s="128">
        <v>325</v>
      </c>
      <c r="B345" s="130" t="str">
        <f t="shared" si="16"/>
        <v>Jours fériés art. 12.2 CCT</v>
      </c>
      <c r="C345" s="131" t="s">
        <v>410</v>
      </c>
      <c r="D345" s="131" t="s">
        <v>411</v>
      </c>
      <c r="E345" s="131" t="s">
        <v>412</v>
      </c>
      <c r="F345" s="131" t="s">
        <v>413</v>
      </c>
      <c r="G345" s="130" t="str">
        <f t="shared" ref="G345:G408" si="17">"L"&amp;ROW()</f>
        <v>L345</v>
      </c>
      <c r="H345" s="131"/>
    </row>
    <row r="346" spans="1:8" x14ac:dyDescent="0.2">
      <c r="A346" s="128">
        <v>326</v>
      </c>
      <c r="B346" s="130" t="str">
        <f t="shared" si="16"/>
        <v>trop de jf !</v>
      </c>
      <c r="C346" s="131" t="s">
        <v>414</v>
      </c>
      <c r="D346" s="131" t="s">
        <v>415</v>
      </c>
      <c r="E346" s="131" t="s">
        <v>416</v>
      </c>
      <c r="F346" s="131" t="s">
        <v>417</v>
      </c>
      <c r="G346" s="130" t="str">
        <f t="shared" si="17"/>
        <v>L346</v>
      </c>
    </row>
    <row r="347" spans="1:8" x14ac:dyDescent="0.2">
      <c r="A347" s="128">
        <v>327</v>
      </c>
      <c r="B347" s="130">
        <f t="shared" si="16"/>
        <v>0</v>
      </c>
      <c r="C347" s="56" t="s">
        <v>294</v>
      </c>
      <c r="G347" s="130" t="str">
        <f t="shared" si="17"/>
        <v>L347</v>
      </c>
      <c r="H347" s="131"/>
    </row>
    <row r="348" spans="1:8" x14ac:dyDescent="0.2">
      <c r="A348" s="128">
        <v>328</v>
      </c>
      <c r="B348" s="130" t="str">
        <f t="shared" si="16"/>
        <v>jf</v>
      </c>
      <c r="C348" s="131" t="s">
        <v>183</v>
      </c>
      <c r="D348" s="130"/>
      <c r="E348" s="131" t="s">
        <v>434</v>
      </c>
      <c r="F348" s="130" t="s">
        <v>435</v>
      </c>
      <c r="G348" s="130" t="str">
        <f t="shared" si="17"/>
        <v>L348</v>
      </c>
    </row>
    <row r="349" spans="1:8" x14ac:dyDescent="0.2">
      <c r="A349" s="128">
        <v>329</v>
      </c>
      <c r="B349" s="130" t="str">
        <f t="shared" si="16"/>
        <v>Vacances art. 12.1 CCT</v>
      </c>
      <c r="C349" s="131" t="s">
        <v>406</v>
      </c>
      <c r="D349" s="131" t="s">
        <v>407</v>
      </c>
      <c r="E349" s="131" t="s">
        <v>408</v>
      </c>
      <c r="F349" s="131" t="s">
        <v>409</v>
      </c>
      <c r="G349" s="130" t="str">
        <f t="shared" si="17"/>
        <v>L349</v>
      </c>
    </row>
    <row r="350" spans="1:8" x14ac:dyDescent="0.2">
      <c r="A350" s="128">
        <v>330</v>
      </c>
      <c r="B350" s="130">
        <f t="shared" si="16"/>
        <v>0</v>
      </c>
      <c r="C350" s="56" t="s">
        <v>294</v>
      </c>
      <c r="G350" s="130" t="str">
        <f t="shared" si="17"/>
        <v>L350</v>
      </c>
      <c r="H350" s="131"/>
    </row>
    <row r="351" spans="1:8" x14ac:dyDescent="0.2">
      <c r="A351" s="128">
        <v>331</v>
      </c>
      <c r="B351" s="130" t="str">
        <f t="shared" si="16"/>
        <v>va</v>
      </c>
      <c r="C351" s="131" t="s">
        <v>184</v>
      </c>
      <c r="D351" s="130"/>
      <c r="E351" s="131" t="s">
        <v>427</v>
      </c>
      <c r="F351" s="130" t="s">
        <v>427</v>
      </c>
      <c r="G351" s="130" t="str">
        <f t="shared" si="17"/>
        <v>L351</v>
      </c>
    </row>
    <row r="352" spans="1:8" x14ac:dyDescent="0.2">
      <c r="A352" s="128">
        <v>332</v>
      </c>
      <c r="B352" s="130" t="str">
        <f t="shared" si="16"/>
        <v>vacances correction crédits</v>
      </c>
      <c r="C352" s="56" t="s">
        <v>585</v>
      </c>
      <c r="E352" s="123" t="s">
        <v>731</v>
      </c>
      <c r="G352" s="130" t="str">
        <f t="shared" si="17"/>
        <v>L352</v>
      </c>
      <c r="H352" s="131"/>
    </row>
    <row r="353" spans="1:8" x14ac:dyDescent="0.2">
      <c r="A353" s="128">
        <v>333</v>
      </c>
      <c r="B353" s="130">
        <f t="shared" ref="B353:B384" si="18">HLOOKUP($B$13,$C$21:$G$820,A353,FALSE)</f>
        <v>0</v>
      </c>
      <c r="C353" s="56" t="s">
        <v>294</v>
      </c>
      <c r="G353" s="130" t="str">
        <f t="shared" si="17"/>
        <v>L353</v>
      </c>
    </row>
    <row r="354" spans="1:8" x14ac:dyDescent="0.2">
      <c r="A354" s="128">
        <v>334</v>
      </c>
      <c r="B354" s="130" t="str">
        <f t="shared" si="18"/>
        <v>Absences art. 11 CCT</v>
      </c>
      <c r="C354" s="131" t="s">
        <v>402</v>
      </c>
      <c r="D354" s="131" t="s">
        <v>403</v>
      </c>
      <c r="E354" s="131" t="s">
        <v>404</v>
      </c>
      <c r="F354" s="131" t="s">
        <v>405</v>
      </c>
      <c r="G354" s="130" t="str">
        <f t="shared" si="17"/>
        <v>L354</v>
      </c>
    </row>
    <row r="355" spans="1:8" x14ac:dyDescent="0.2">
      <c r="A355" s="128">
        <v>335</v>
      </c>
      <c r="B355" s="130">
        <f t="shared" si="18"/>
        <v>0</v>
      </c>
      <c r="C355" s="56" t="s">
        <v>294</v>
      </c>
      <c r="G355" s="130" t="str">
        <f t="shared" si="17"/>
        <v>L355</v>
      </c>
    </row>
    <row r="356" spans="1:8" x14ac:dyDescent="0.2">
      <c r="A356" s="128">
        <v>336</v>
      </c>
      <c r="B356" s="130" t="str">
        <f t="shared" si="18"/>
        <v>ab</v>
      </c>
      <c r="C356" s="131" t="s">
        <v>187</v>
      </c>
      <c r="D356" s="130"/>
      <c r="E356" s="131" t="s">
        <v>422</v>
      </c>
      <c r="F356" s="130" t="s">
        <v>230</v>
      </c>
      <c r="G356" s="130" t="str">
        <f t="shared" si="17"/>
        <v>L356</v>
      </c>
    </row>
    <row r="357" spans="1:8" x14ac:dyDescent="0.2">
      <c r="A357" s="128">
        <v>337</v>
      </c>
      <c r="B357" s="130" t="str">
        <f t="shared" si="18"/>
        <v>Maladie art. 13 CCT</v>
      </c>
      <c r="C357" s="131" t="s">
        <v>418</v>
      </c>
      <c r="D357" s="131" t="s">
        <v>419</v>
      </c>
      <c r="E357" s="131" t="s">
        <v>420</v>
      </c>
      <c r="F357" s="131" t="s">
        <v>421</v>
      </c>
      <c r="G357" s="130" t="str">
        <f t="shared" si="17"/>
        <v>L357</v>
      </c>
    </row>
    <row r="358" spans="1:8" x14ac:dyDescent="0.2">
      <c r="A358" s="128">
        <v>338</v>
      </c>
      <c r="B358" s="130">
        <f t="shared" si="18"/>
        <v>0</v>
      </c>
      <c r="C358" s="56" t="s">
        <v>294</v>
      </c>
      <c r="G358" s="130" t="str">
        <f t="shared" si="17"/>
        <v>L358</v>
      </c>
    </row>
    <row r="359" spans="1:8" x14ac:dyDescent="0.2">
      <c r="A359" s="128">
        <v>339</v>
      </c>
      <c r="B359" s="130" t="str">
        <f t="shared" si="18"/>
        <v>ma</v>
      </c>
      <c r="C359" s="131" t="s">
        <v>190</v>
      </c>
      <c r="D359" s="130"/>
      <c r="E359" s="131" t="s">
        <v>440</v>
      </c>
      <c r="F359" s="130" t="s">
        <v>440</v>
      </c>
      <c r="G359" s="130" t="str">
        <f t="shared" si="17"/>
        <v>L359</v>
      </c>
    </row>
    <row r="360" spans="1:8" x14ac:dyDescent="0.2">
      <c r="A360" s="128">
        <v>340</v>
      </c>
      <c r="B360" s="130" t="str">
        <f t="shared" si="18"/>
        <v>dont carence</v>
      </c>
      <c r="C360" s="56" t="s">
        <v>221</v>
      </c>
      <c r="D360" s="130"/>
      <c r="E360" s="131" t="s">
        <v>745</v>
      </c>
      <c r="F360" s="130"/>
      <c r="G360" s="130" t="str">
        <f t="shared" si="17"/>
        <v>L360</v>
      </c>
    </row>
    <row r="361" spans="1:8" x14ac:dyDescent="0.2">
      <c r="A361" s="128">
        <v>341</v>
      </c>
      <c r="B361" s="130">
        <f t="shared" si="18"/>
        <v>0</v>
      </c>
      <c r="C361" s="56" t="s">
        <v>294</v>
      </c>
      <c r="G361" s="130" t="str">
        <f t="shared" si="17"/>
        <v>L361</v>
      </c>
    </row>
    <row r="362" spans="1:8" x14ac:dyDescent="0.2">
      <c r="A362" s="128">
        <v>342</v>
      </c>
      <c r="B362" s="130">
        <f t="shared" si="18"/>
        <v>0</v>
      </c>
      <c r="C362" s="56" t="s">
        <v>294</v>
      </c>
      <c r="G362" s="130" t="str">
        <f t="shared" si="17"/>
        <v>L362</v>
      </c>
    </row>
    <row r="363" spans="1:8" x14ac:dyDescent="0.2">
      <c r="A363" s="128">
        <v>343</v>
      </c>
      <c r="B363" s="130" t="str">
        <f t="shared" si="18"/>
        <v>Accident art. 14 CCT</v>
      </c>
      <c r="C363" s="131" t="s">
        <v>423</v>
      </c>
      <c r="D363" s="131" t="s">
        <v>424</v>
      </c>
      <c r="E363" s="131" t="s">
        <v>425</v>
      </c>
      <c r="F363" s="131" t="s">
        <v>426</v>
      </c>
      <c r="G363" s="130" t="str">
        <f t="shared" si="17"/>
        <v>L363</v>
      </c>
    </row>
    <row r="364" spans="1:8" x14ac:dyDescent="0.2">
      <c r="A364" s="128">
        <v>344</v>
      </c>
      <c r="B364" s="130">
        <f t="shared" si="18"/>
        <v>0</v>
      </c>
      <c r="C364" s="56" t="s">
        <v>294</v>
      </c>
      <c r="G364" s="130" t="str">
        <f t="shared" si="17"/>
        <v>L364</v>
      </c>
    </row>
    <row r="365" spans="1:8" x14ac:dyDescent="0.2">
      <c r="A365" s="128">
        <v>345</v>
      </c>
      <c r="B365" s="130" t="str">
        <f t="shared" si="18"/>
        <v>ac</v>
      </c>
      <c r="C365" s="131" t="s">
        <v>193</v>
      </c>
      <c r="D365" s="130"/>
      <c r="E365" s="131" t="s">
        <v>444</v>
      </c>
      <c r="F365" s="130" t="s">
        <v>445</v>
      </c>
      <c r="G365" s="130" t="str">
        <f t="shared" si="17"/>
        <v>L365</v>
      </c>
    </row>
    <row r="366" spans="1:8" x14ac:dyDescent="0.2">
      <c r="A366" s="128">
        <v>346</v>
      </c>
      <c r="B366" s="130" t="str">
        <f t="shared" si="18"/>
        <v>Grossesse art. 15 CCT</v>
      </c>
      <c r="C366" s="131" t="s">
        <v>807</v>
      </c>
      <c r="D366" s="131" t="s">
        <v>757</v>
      </c>
      <c r="E366" s="131" t="s">
        <v>760</v>
      </c>
      <c r="F366" s="131" t="s">
        <v>761</v>
      </c>
      <c r="G366" s="130" t="str">
        <f t="shared" si="17"/>
        <v>L366</v>
      </c>
    </row>
    <row r="367" spans="1:8" x14ac:dyDescent="0.2">
      <c r="A367" s="128">
        <v>347</v>
      </c>
      <c r="B367" s="130">
        <f t="shared" si="18"/>
        <v>0</v>
      </c>
      <c r="C367" s="56" t="s">
        <v>294</v>
      </c>
      <c r="G367" s="130" t="str">
        <f t="shared" si="17"/>
        <v>L367</v>
      </c>
      <c r="H367" s="131"/>
    </row>
    <row r="368" spans="1:8" x14ac:dyDescent="0.2">
      <c r="A368" s="128">
        <v>348</v>
      </c>
      <c r="B368" s="130" t="str">
        <f t="shared" si="18"/>
        <v>g</v>
      </c>
      <c r="C368" s="131" t="s">
        <v>753</v>
      </c>
      <c r="D368" s="130" t="s">
        <v>758</v>
      </c>
      <c r="E368" s="131" t="s">
        <v>759</v>
      </c>
      <c r="F368" s="130" t="s">
        <v>759</v>
      </c>
      <c r="G368" s="130" t="str">
        <f t="shared" si="17"/>
        <v>L368</v>
      </c>
      <c r="H368" s="131"/>
    </row>
    <row r="369" spans="1:11" ht="25.5" x14ac:dyDescent="0.2">
      <c r="A369" s="128">
        <v>349</v>
      </c>
      <c r="B369" s="130" t="str">
        <f t="shared" si="18"/>
        <v>Militaire/Promotion/Protection civile art. 16 CCT</v>
      </c>
      <c r="C369" s="131" t="s">
        <v>809</v>
      </c>
      <c r="D369" s="131" t="s">
        <v>429</v>
      </c>
      <c r="E369" s="131" t="s">
        <v>430</v>
      </c>
      <c r="F369" s="131" t="s">
        <v>431</v>
      </c>
      <c r="G369" s="130" t="str">
        <f t="shared" si="17"/>
        <v>L369</v>
      </c>
      <c r="H369" s="131"/>
    </row>
    <row r="370" spans="1:11" x14ac:dyDescent="0.2">
      <c r="A370" s="128">
        <v>350</v>
      </c>
      <c r="B370" s="130">
        <f t="shared" si="18"/>
        <v>0</v>
      </c>
      <c r="C370" s="56" t="s">
        <v>294</v>
      </c>
      <c r="G370" s="130" t="str">
        <f t="shared" si="17"/>
        <v>L370</v>
      </c>
      <c r="H370" s="131"/>
    </row>
    <row r="371" spans="1:11" x14ac:dyDescent="0.2">
      <c r="A371" s="128">
        <v>351</v>
      </c>
      <c r="B371" s="130" t="str">
        <f t="shared" si="18"/>
        <v>mi</v>
      </c>
      <c r="C371" s="131" t="s">
        <v>199</v>
      </c>
      <c r="D371" s="130"/>
      <c r="E371" s="131" t="s">
        <v>455</v>
      </c>
      <c r="F371" s="130" t="s">
        <v>455</v>
      </c>
      <c r="G371" s="130" t="str">
        <f t="shared" si="17"/>
        <v>L371</v>
      </c>
      <c r="H371" s="131"/>
    </row>
    <row r="372" spans="1:11" ht="25.5" x14ac:dyDescent="0.2">
      <c r="A372" s="128">
        <v>352</v>
      </c>
      <c r="B372" s="130" t="str">
        <f t="shared" si="18"/>
        <v>Chômage partiel/perte de trav. cause d'intemp.</v>
      </c>
      <c r="C372" s="131" t="s">
        <v>432</v>
      </c>
      <c r="D372" s="131" t="s">
        <v>433</v>
      </c>
      <c r="E372" s="131" t="s">
        <v>749</v>
      </c>
      <c r="F372" s="130" t="str">
        <f>C372</f>
        <v>Kurzarbeit und Schlechtwetterausfälle</v>
      </c>
      <c r="G372" s="130" t="str">
        <f t="shared" si="17"/>
        <v>L372</v>
      </c>
    </row>
    <row r="373" spans="1:11" x14ac:dyDescent="0.2">
      <c r="A373" s="128">
        <v>353</v>
      </c>
      <c r="B373" s="130" t="str">
        <f t="shared" si="18"/>
        <v>.</v>
      </c>
      <c r="C373" s="56" t="s">
        <v>294</v>
      </c>
      <c r="E373" s="56" t="s">
        <v>294</v>
      </c>
      <c r="F373" s="130"/>
      <c r="G373" s="130" t="str">
        <f t="shared" si="17"/>
        <v>L373</v>
      </c>
    </row>
    <row r="374" spans="1:11" x14ac:dyDescent="0.2">
      <c r="A374" s="128">
        <v>354</v>
      </c>
      <c r="B374" s="130" t="str">
        <f t="shared" si="18"/>
        <v>ch</v>
      </c>
      <c r="C374" s="131" t="s">
        <v>206</v>
      </c>
      <c r="D374" s="130" t="str">
        <f>C374</f>
        <v>ka</v>
      </c>
      <c r="E374" s="131" t="s">
        <v>457</v>
      </c>
      <c r="F374" s="130" t="str">
        <f>C374</f>
        <v>ka</v>
      </c>
      <c r="G374" s="130" t="str">
        <f t="shared" si="17"/>
        <v>L374</v>
      </c>
    </row>
    <row r="375" spans="1:11" x14ac:dyDescent="0.2">
      <c r="A375" s="128">
        <v>355</v>
      </c>
      <c r="B375" s="130" t="str">
        <f t="shared" si="18"/>
        <v>Arrêts définis par l'entreprise</v>
      </c>
      <c r="C375" s="56" t="s">
        <v>598</v>
      </c>
      <c r="E375" s="56" t="s">
        <v>750</v>
      </c>
      <c r="G375" s="130" t="str">
        <f t="shared" si="17"/>
        <v>L375</v>
      </c>
    </row>
    <row r="376" spans="1:11" x14ac:dyDescent="0.2">
      <c r="A376" s="128">
        <v>356</v>
      </c>
      <c r="B376" s="130" t="str">
        <f t="shared" si="18"/>
        <v>.</v>
      </c>
      <c r="C376" s="56" t="s">
        <v>294</v>
      </c>
      <c r="E376" s="56" t="s">
        <v>294</v>
      </c>
      <c r="G376" s="130" t="str">
        <f t="shared" si="17"/>
        <v>L376</v>
      </c>
    </row>
    <row r="377" spans="1:11" x14ac:dyDescent="0.2">
      <c r="A377" s="128">
        <v>357</v>
      </c>
      <c r="B377" s="130" t="str">
        <f t="shared" si="18"/>
        <v>ae</v>
      </c>
      <c r="C377" s="56" t="s">
        <v>595</v>
      </c>
      <c r="E377" s="56" t="s">
        <v>746</v>
      </c>
      <c r="G377" s="130" t="str">
        <f t="shared" si="17"/>
        <v>L377</v>
      </c>
    </row>
    <row r="378" spans="1:11" x14ac:dyDescent="0.2">
      <c r="A378" s="128">
        <v>358</v>
      </c>
      <c r="B378" s="130">
        <f t="shared" si="18"/>
        <v>0</v>
      </c>
      <c r="C378" s="56" t="s">
        <v>294</v>
      </c>
      <c r="G378" s="130" t="str">
        <f t="shared" si="17"/>
        <v>L378</v>
      </c>
    </row>
    <row r="379" spans="1:11" x14ac:dyDescent="0.2">
      <c r="A379" s="128">
        <v>359</v>
      </c>
      <c r="B379" s="130" t="str">
        <f t="shared" si="18"/>
        <v>Ecole professionnelle</v>
      </c>
      <c r="C379" s="131" t="s">
        <v>201</v>
      </c>
      <c r="D379" s="131" t="s">
        <v>436</v>
      </c>
      <c r="E379" s="131" t="s">
        <v>437</v>
      </c>
      <c r="F379" s="130" t="str">
        <f>C379</f>
        <v>Berufsschule</v>
      </c>
      <c r="G379" s="130" t="str">
        <f t="shared" si="17"/>
        <v>L379</v>
      </c>
    </row>
    <row r="380" spans="1:11" x14ac:dyDescent="0.2">
      <c r="A380" s="128">
        <v>360</v>
      </c>
      <c r="B380" s="130">
        <f t="shared" si="18"/>
        <v>0</v>
      </c>
      <c r="C380" s="56" t="s">
        <v>294</v>
      </c>
      <c r="G380" s="130" t="str">
        <f t="shared" si="17"/>
        <v>L380</v>
      </c>
    </row>
    <row r="381" spans="1:11" x14ac:dyDescent="0.2">
      <c r="A381" s="128">
        <v>361</v>
      </c>
      <c r="B381" s="130" t="str">
        <f t="shared" si="18"/>
        <v>ep</v>
      </c>
      <c r="C381" s="131" t="s">
        <v>202</v>
      </c>
      <c r="D381" s="130" t="str">
        <f>C381</f>
        <v>bs</v>
      </c>
      <c r="E381" s="131" t="s">
        <v>459</v>
      </c>
      <c r="F381" s="130" t="str">
        <f>C381</f>
        <v>bs</v>
      </c>
      <c r="G381" s="130" t="str">
        <f t="shared" si="17"/>
        <v>L381</v>
      </c>
      <c r="H381" s="131"/>
      <c r="I381" s="130"/>
      <c r="J381" s="131"/>
      <c r="K381" s="130"/>
    </row>
    <row r="382" spans="1:11" x14ac:dyDescent="0.2">
      <c r="A382" s="128">
        <v>362</v>
      </c>
      <c r="B382" s="130" t="str">
        <f t="shared" si="18"/>
        <v>Cours</v>
      </c>
      <c r="C382" s="131" t="s">
        <v>203</v>
      </c>
      <c r="D382" s="131" t="s">
        <v>438</v>
      </c>
      <c r="E382" s="131" t="s">
        <v>439</v>
      </c>
      <c r="F382" s="130" t="str">
        <f>C382</f>
        <v>Kurse</v>
      </c>
      <c r="G382" s="130" t="str">
        <f t="shared" si="17"/>
        <v>L382</v>
      </c>
    </row>
    <row r="383" spans="1:11" x14ac:dyDescent="0.2">
      <c r="A383" s="128">
        <v>363</v>
      </c>
      <c r="B383" s="130">
        <f t="shared" si="18"/>
        <v>0</v>
      </c>
      <c r="C383" s="56" t="s">
        <v>294</v>
      </c>
      <c r="G383" s="130" t="str">
        <f t="shared" si="17"/>
        <v>L383</v>
      </c>
    </row>
    <row r="384" spans="1:11" x14ac:dyDescent="0.2">
      <c r="A384" s="128">
        <v>364</v>
      </c>
      <c r="B384" s="130" t="str">
        <f t="shared" si="18"/>
        <v>co</v>
      </c>
      <c r="C384" s="131" t="s">
        <v>204</v>
      </c>
      <c r="D384" s="130" t="str">
        <f>C384</f>
        <v>ku</v>
      </c>
      <c r="E384" s="131" t="s">
        <v>462</v>
      </c>
      <c r="F384" s="130" t="str">
        <f>C384</f>
        <v>ku</v>
      </c>
      <c r="G384" s="130" t="str">
        <f t="shared" si="17"/>
        <v>L384</v>
      </c>
    </row>
    <row r="385" spans="1:11" x14ac:dyDescent="0.2">
      <c r="A385" s="128">
        <v>365</v>
      </c>
      <c r="B385" s="130">
        <f t="shared" ref="B385:B416" si="19">HLOOKUP($B$13,$C$21:$G$820,A385,FALSE)</f>
        <v>0</v>
      </c>
      <c r="C385" s="56" t="s">
        <v>294</v>
      </c>
      <c r="G385" s="130" t="str">
        <f t="shared" si="17"/>
        <v>L385</v>
      </c>
    </row>
    <row r="386" spans="1:11" x14ac:dyDescent="0.2">
      <c r="A386" s="128">
        <v>366</v>
      </c>
      <c r="B386" s="130">
        <f t="shared" si="19"/>
        <v>0</v>
      </c>
      <c r="C386" s="56" t="s">
        <v>294</v>
      </c>
      <c r="G386" s="130" t="str">
        <f t="shared" si="17"/>
        <v>L386</v>
      </c>
    </row>
    <row r="387" spans="1:11" x14ac:dyDescent="0.2">
      <c r="A387" s="128">
        <v>367</v>
      </c>
      <c r="B387" s="130" t="str">
        <f t="shared" si="19"/>
        <v>se année passée</v>
      </c>
      <c r="C387" s="56" t="s">
        <v>441</v>
      </c>
      <c r="D387" s="130" t="s">
        <v>470</v>
      </c>
      <c r="E387" s="131" t="s">
        <v>848</v>
      </c>
      <c r="F387" s="130" t="e">
        <f>#REF!</f>
        <v>#REF!</v>
      </c>
      <c r="G387" s="130" t="str">
        <f t="shared" si="17"/>
        <v>L387</v>
      </c>
    </row>
    <row r="388" spans="1:11" x14ac:dyDescent="0.2">
      <c r="A388" s="128">
        <v>368</v>
      </c>
      <c r="B388" s="130">
        <f t="shared" si="19"/>
        <v>0</v>
      </c>
      <c r="C388" s="56" t="s">
        <v>294</v>
      </c>
      <c r="G388" s="130" t="str">
        <f t="shared" si="17"/>
        <v>L388</v>
      </c>
    </row>
    <row r="389" spans="1:11" x14ac:dyDescent="0.2">
      <c r="A389" s="128">
        <v>369</v>
      </c>
      <c r="B389" s="130" t="str">
        <f t="shared" si="19"/>
        <v>Heures de compensation</v>
      </c>
      <c r="C389" s="56" t="s">
        <v>361</v>
      </c>
      <c r="D389" s="130" t="s">
        <v>442</v>
      </c>
      <c r="E389" s="131" t="s">
        <v>443</v>
      </c>
      <c r="F389" s="130"/>
      <c r="G389" s="130" t="str">
        <f t="shared" si="17"/>
        <v>L389</v>
      </c>
    </row>
    <row r="390" spans="1:11" x14ac:dyDescent="0.2">
      <c r="A390" s="128">
        <v>370</v>
      </c>
      <c r="B390" s="130" t="str">
        <f t="shared" si="19"/>
        <v>cp</v>
      </c>
      <c r="C390" s="131" t="s">
        <v>464</v>
      </c>
      <c r="D390" s="130"/>
      <c r="E390" s="131" t="s">
        <v>465</v>
      </c>
      <c r="F390" s="130"/>
      <c r="G390" s="130" t="str">
        <f t="shared" si="17"/>
        <v>L390</v>
      </c>
    </row>
    <row r="391" spans="1:11" x14ac:dyDescent="0.2">
      <c r="A391" s="128">
        <v>371</v>
      </c>
      <c r="B391" s="130">
        <f t="shared" si="19"/>
        <v>0</v>
      </c>
      <c r="C391" s="56" t="s">
        <v>294</v>
      </c>
      <c r="G391" s="130" t="str">
        <f t="shared" si="17"/>
        <v>L391</v>
      </c>
    </row>
    <row r="392" spans="1:11" x14ac:dyDescent="0.2">
      <c r="A392" s="128">
        <v>372</v>
      </c>
      <c r="B392" s="130" t="str">
        <f t="shared" si="19"/>
        <v>paiement des heures</v>
      </c>
      <c r="C392" s="56" t="s">
        <v>446</v>
      </c>
      <c r="D392" s="130" t="s">
        <v>468</v>
      </c>
      <c r="E392" s="131" t="s">
        <v>819</v>
      </c>
      <c r="F392" s="130">
        <f>H370</f>
        <v>0</v>
      </c>
      <c r="G392" s="130" t="str">
        <f t="shared" si="17"/>
        <v>L392</v>
      </c>
    </row>
    <row r="393" spans="1:11" x14ac:dyDescent="0.2">
      <c r="A393" s="128">
        <v>373</v>
      </c>
      <c r="B393" s="130">
        <f t="shared" si="19"/>
        <v>0</v>
      </c>
      <c r="C393" s="56" t="s">
        <v>294</v>
      </c>
      <c r="G393" s="130" t="str">
        <f t="shared" si="17"/>
        <v>L393</v>
      </c>
    </row>
    <row r="394" spans="1:11" x14ac:dyDescent="0.2">
      <c r="A394" s="128">
        <v>374</v>
      </c>
      <c r="B394" s="130">
        <f t="shared" si="19"/>
        <v>0</v>
      </c>
      <c r="C394" s="56" t="s">
        <v>294</v>
      </c>
      <c r="G394" s="130" t="str">
        <f t="shared" si="17"/>
        <v>L394</v>
      </c>
    </row>
    <row r="395" spans="1:11" x14ac:dyDescent="0.2">
      <c r="A395" s="128">
        <v>375</v>
      </c>
      <c r="B395" s="130" t="str">
        <f t="shared" si="19"/>
        <v>Différence en heures</v>
      </c>
      <c r="C395" s="131" t="s">
        <v>447</v>
      </c>
      <c r="D395" s="130" t="s">
        <v>448</v>
      </c>
      <c r="E395" s="131" t="s">
        <v>449</v>
      </c>
      <c r="F395" s="130" t="str">
        <f>C395</f>
        <v>Differenz</v>
      </c>
      <c r="G395" s="130" t="str">
        <f t="shared" si="17"/>
        <v>L395</v>
      </c>
      <c r="H395" s="131"/>
      <c r="I395" s="130"/>
      <c r="J395" s="131"/>
      <c r="K395" s="130"/>
    </row>
    <row r="396" spans="1:11" x14ac:dyDescent="0.2">
      <c r="A396" s="128">
        <v>376</v>
      </c>
      <c r="B396" s="130" t="str">
        <f t="shared" si="19"/>
        <v>après compensation et paiement</v>
      </c>
      <c r="C396" s="131" t="s">
        <v>450</v>
      </c>
      <c r="D396" s="130" t="s">
        <v>451</v>
      </c>
      <c r="E396" s="131" t="s">
        <v>452</v>
      </c>
      <c r="F396" s="130" t="str">
        <f>C396</f>
        <v>nach Kompensation und Auszahlung</v>
      </c>
      <c r="G396" s="130" t="str">
        <f t="shared" si="17"/>
        <v>L396</v>
      </c>
      <c r="H396" s="140"/>
    </row>
    <row r="397" spans="1:11" x14ac:dyDescent="0.2">
      <c r="A397" s="128">
        <v>377</v>
      </c>
      <c r="B397" s="130">
        <f t="shared" si="19"/>
        <v>0</v>
      </c>
      <c r="C397" s="56" t="s">
        <v>294</v>
      </c>
      <c r="G397" s="130" t="str">
        <f t="shared" si="17"/>
        <v>L397</v>
      </c>
      <c r="H397" s="140"/>
    </row>
    <row r="398" spans="1:11" x14ac:dyDescent="0.2">
      <c r="A398" s="128">
        <v>378</v>
      </c>
      <c r="B398" s="130">
        <f t="shared" si="19"/>
        <v>0</v>
      </c>
      <c r="C398" s="56" t="s">
        <v>294</v>
      </c>
      <c r="G398" s="130" t="str">
        <f t="shared" si="17"/>
        <v>L398</v>
      </c>
      <c r="H398" s="140"/>
    </row>
    <row r="399" spans="1:11" x14ac:dyDescent="0.2">
      <c r="A399" s="128">
        <v>379</v>
      </c>
      <c r="B399" s="130" t="str">
        <f t="shared" si="19"/>
        <v>de l'année en cours (contrôle)</v>
      </c>
      <c r="C399" s="56" t="s">
        <v>580</v>
      </c>
      <c r="D399" s="130" t="s">
        <v>453</v>
      </c>
      <c r="E399" s="131" t="s">
        <v>454</v>
      </c>
      <c r="F399" s="130">
        <f>H368</f>
        <v>0</v>
      </c>
      <c r="G399" s="130" t="str">
        <f t="shared" si="17"/>
        <v>L399</v>
      </c>
      <c r="H399" s="140"/>
    </row>
    <row r="400" spans="1:11" x14ac:dyDescent="0.2">
      <c r="A400" s="128">
        <v>380</v>
      </c>
      <c r="B400" s="130" t="str">
        <f t="shared" si="19"/>
        <v>compensation en cours</v>
      </c>
      <c r="C400" s="56" t="s">
        <v>211</v>
      </c>
      <c r="E400" s="130" t="s">
        <v>820</v>
      </c>
      <c r="F400" s="130"/>
      <c r="G400" s="130" t="str">
        <f t="shared" si="17"/>
        <v>L400</v>
      </c>
    </row>
    <row r="401" spans="1:11" x14ac:dyDescent="0.2">
      <c r="A401" s="128">
        <v>381</v>
      </c>
      <c r="B401" s="130" t="str">
        <f t="shared" si="19"/>
        <v>cc</v>
      </c>
      <c r="C401" s="131" t="s">
        <v>466</v>
      </c>
      <c r="D401" s="130"/>
      <c r="E401" s="131" t="s">
        <v>467</v>
      </c>
      <c r="F401" s="130"/>
      <c r="G401" s="130" t="str">
        <f t="shared" si="17"/>
        <v>L401</v>
      </c>
    </row>
    <row r="402" spans="1:11" x14ac:dyDescent="0.2">
      <c r="A402" s="128">
        <v>382</v>
      </c>
      <c r="B402" s="130" t="str">
        <f t="shared" si="19"/>
        <v>.</v>
      </c>
      <c r="C402" s="56" t="s">
        <v>294</v>
      </c>
      <c r="E402" s="123" t="s">
        <v>294</v>
      </c>
      <c r="G402" s="130" t="str">
        <f t="shared" si="17"/>
        <v>L402</v>
      </c>
      <c r="H402" s="131"/>
      <c r="I402" s="130"/>
      <c r="J402" s="130"/>
      <c r="K402" s="130"/>
    </row>
    <row r="403" spans="1:11" x14ac:dyDescent="0.2">
      <c r="A403" s="128">
        <v>383</v>
      </c>
      <c r="B403" s="130" t="str">
        <f t="shared" si="19"/>
        <v>Paiement des heures</v>
      </c>
      <c r="C403" s="56" t="s">
        <v>456</v>
      </c>
      <c r="D403" s="130" t="s">
        <v>468</v>
      </c>
      <c r="E403" s="131" t="s">
        <v>469</v>
      </c>
      <c r="F403" s="131" t="s">
        <v>456</v>
      </c>
      <c r="G403" s="130" t="str">
        <f t="shared" si="17"/>
        <v>L403</v>
      </c>
    </row>
    <row r="404" spans="1:11" x14ac:dyDescent="0.2">
      <c r="A404" s="128">
        <v>384</v>
      </c>
      <c r="B404" s="130">
        <f t="shared" si="19"/>
        <v>0</v>
      </c>
      <c r="C404" s="56" t="s">
        <v>294</v>
      </c>
      <c r="G404" s="130" t="str">
        <f t="shared" si="17"/>
        <v>L404</v>
      </c>
    </row>
    <row r="405" spans="1:11" x14ac:dyDescent="0.2">
      <c r="A405" s="128">
        <v>385</v>
      </c>
      <c r="B405" s="130" t="str">
        <f t="shared" si="19"/>
        <v>absences non payées</v>
      </c>
      <c r="C405" s="56" t="s">
        <v>524</v>
      </c>
      <c r="E405" s="123" t="s">
        <v>821</v>
      </c>
      <c r="G405" s="130" t="str">
        <f t="shared" si="17"/>
        <v>L405</v>
      </c>
    </row>
    <row r="406" spans="1:11" x14ac:dyDescent="0.2">
      <c r="A406" s="128">
        <v>386</v>
      </c>
      <c r="B406" s="130" t="str">
        <f t="shared" si="19"/>
        <v>vacences non payées</v>
      </c>
      <c r="C406" s="56" t="s">
        <v>223</v>
      </c>
      <c r="E406" s="123" t="s">
        <v>822</v>
      </c>
      <c r="G406" s="130" t="str">
        <f t="shared" si="17"/>
        <v>L406</v>
      </c>
    </row>
    <row r="407" spans="1:11" x14ac:dyDescent="0.2">
      <c r="A407" s="128">
        <v>387</v>
      </c>
      <c r="B407" s="130" t="str">
        <f t="shared" si="19"/>
        <v>vn</v>
      </c>
      <c r="C407" s="131" t="s">
        <v>224</v>
      </c>
      <c r="D407" s="130"/>
      <c r="E407" s="130" t="s">
        <v>823</v>
      </c>
      <c r="F407" s="130"/>
      <c r="G407" s="130" t="str">
        <f t="shared" si="17"/>
        <v>L407</v>
      </c>
    </row>
    <row r="408" spans="1:11" x14ac:dyDescent="0.2">
      <c r="A408" s="128">
        <v>388</v>
      </c>
      <c r="B408" s="130" t="str">
        <f t="shared" si="19"/>
        <v>.</v>
      </c>
      <c r="C408" s="56" t="s">
        <v>294</v>
      </c>
      <c r="E408" s="123" t="s">
        <v>294</v>
      </c>
      <c r="G408" s="130" t="str">
        <f t="shared" si="17"/>
        <v>L408</v>
      </c>
    </row>
    <row r="409" spans="1:11" x14ac:dyDescent="0.2">
      <c r="A409" s="128">
        <v>389</v>
      </c>
      <c r="B409" s="130" t="str">
        <f t="shared" si="19"/>
        <v>heures manquantes</v>
      </c>
      <c r="C409" s="56" t="s">
        <v>531</v>
      </c>
      <c r="E409" s="123" t="s">
        <v>698</v>
      </c>
      <c r="G409" s="130" t="str">
        <f t="shared" ref="G409:G472" si="20">"L"&amp;ROW()</f>
        <v>L409</v>
      </c>
    </row>
    <row r="410" spans="1:11" x14ac:dyDescent="0.2">
      <c r="A410" s="128">
        <v>390</v>
      </c>
      <c r="B410" s="130" t="str">
        <f t="shared" si="19"/>
        <v>.</v>
      </c>
      <c r="C410" s="56" t="s">
        <v>294</v>
      </c>
      <c r="E410" s="123" t="s">
        <v>294</v>
      </c>
      <c r="G410" s="130" t="str">
        <f t="shared" si="20"/>
        <v>L410</v>
      </c>
    </row>
    <row r="411" spans="1:11" x14ac:dyDescent="0.2">
      <c r="A411" s="128">
        <v>391</v>
      </c>
      <c r="B411" s="130" t="str">
        <f t="shared" si="19"/>
        <v>hm</v>
      </c>
      <c r="C411" s="131" t="s">
        <v>226</v>
      </c>
      <c r="D411" s="130"/>
      <c r="E411" s="131" t="s">
        <v>471</v>
      </c>
      <c r="F411" s="130"/>
      <c r="G411" s="130" t="str">
        <f t="shared" si="20"/>
        <v>L411</v>
      </c>
    </row>
    <row r="412" spans="1:11" x14ac:dyDescent="0.2">
      <c r="A412" s="128">
        <v>392</v>
      </c>
      <c r="B412" s="130" t="str">
        <f t="shared" si="19"/>
        <v>.</v>
      </c>
      <c r="C412" s="56" t="s">
        <v>294</v>
      </c>
      <c r="E412" s="123" t="s">
        <v>294</v>
      </c>
      <c r="G412" s="130" t="str">
        <f t="shared" si="20"/>
        <v>L412</v>
      </c>
    </row>
    <row r="413" spans="1:11" x14ac:dyDescent="0.2">
      <c r="A413" s="128">
        <v>393</v>
      </c>
      <c r="B413" s="130" t="str">
        <f t="shared" si="19"/>
        <v>.</v>
      </c>
      <c r="C413" s="56" t="s">
        <v>294</v>
      </c>
      <c r="E413" s="123" t="s">
        <v>294</v>
      </c>
      <c r="G413" s="130" t="str">
        <f t="shared" si="20"/>
        <v>L413</v>
      </c>
    </row>
    <row r="414" spans="1:11" x14ac:dyDescent="0.2">
      <c r="A414" s="128">
        <v>394</v>
      </c>
      <c r="B414" s="130" t="str">
        <f t="shared" si="19"/>
        <v>total (majorations inclus)</v>
      </c>
      <c r="C414" s="56" t="s">
        <v>458</v>
      </c>
      <c r="E414" s="123" t="s">
        <v>717</v>
      </c>
      <c r="G414" s="130" t="str">
        <f t="shared" si="20"/>
        <v>L414</v>
      </c>
    </row>
    <row r="415" spans="1:11" x14ac:dyDescent="0.2">
      <c r="A415" s="128">
        <v>395</v>
      </c>
      <c r="B415" s="130" t="str">
        <f t="shared" si="19"/>
        <v>heures productives et inproductives</v>
      </c>
      <c r="C415" s="56" t="s">
        <v>460</v>
      </c>
      <c r="E415" s="123" t="s">
        <v>472</v>
      </c>
      <c r="G415" s="130" t="str">
        <f t="shared" si="20"/>
        <v>L415</v>
      </c>
    </row>
    <row r="416" spans="1:11" x14ac:dyDescent="0.2">
      <c r="A416" s="128">
        <v>396</v>
      </c>
      <c r="B416" s="130" t="str">
        <f t="shared" si="19"/>
        <v>.</v>
      </c>
      <c r="C416" s="56" t="s">
        <v>294</v>
      </c>
      <c r="E416" s="123" t="s">
        <v>294</v>
      </c>
      <c r="G416" s="130" t="str">
        <f t="shared" si="20"/>
        <v>L416</v>
      </c>
    </row>
    <row r="417" spans="1:8" x14ac:dyDescent="0.2">
      <c r="A417" s="128">
        <v>397</v>
      </c>
      <c r="B417" s="130" t="str">
        <f t="shared" ref="B417:B448" si="21">HLOOKUP($B$13,$C$21:$G$820,A417,FALSE)</f>
        <v>comparaison des heures</v>
      </c>
      <c r="C417" s="56" t="s">
        <v>461</v>
      </c>
      <c r="E417" s="123" t="s">
        <v>716</v>
      </c>
      <c r="G417" s="130" t="str">
        <f t="shared" si="20"/>
        <v>L417</v>
      </c>
    </row>
    <row r="418" spans="1:8" ht="25.5" x14ac:dyDescent="0.2">
      <c r="A418" s="128">
        <v>398</v>
      </c>
      <c r="B418" s="130" t="str">
        <f t="shared" si="21"/>
        <v>y compris les heures de l'année passée</v>
      </c>
      <c r="C418" s="56" t="s">
        <v>518</v>
      </c>
      <c r="E418" s="56" t="s">
        <v>714</v>
      </c>
      <c r="G418" s="130" t="str">
        <f t="shared" si="20"/>
        <v>L418</v>
      </c>
      <c r="H418" s="140"/>
    </row>
    <row r="419" spans="1:8" x14ac:dyDescent="0.2">
      <c r="A419" s="128">
        <v>399</v>
      </c>
      <c r="B419" s="130" t="str">
        <f t="shared" si="21"/>
        <v>.</v>
      </c>
      <c r="C419" s="56" t="s">
        <v>294</v>
      </c>
      <c r="E419" s="123" t="s">
        <v>294</v>
      </c>
      <c r="G419" s="130" t="str">
        <f t="shared" si="20"/>
        <v>L419</v>
      </c>
      <c r="H419" s="140"/>
    </row>
    <row r="420" spans="1:8" ht="25.5" x14ac:dyDescent="0.2">
      <c r="A420" s="128">
        <v>400</v>
      </c>
      <c r="B420" s="130" t="str">
        <f t="shared" si="21"/>
        <v>aux heures théorique (cumulées)</v>
      </c>
      <c r="C420" s="56" t="s">
        <v>463</v>
      </c>
      <c r="E420" s="123" t="s">
        <v>715</v>
      </c>
      <c r="G420" s="127" t="str">
        <f t="shared" si="20"/>
        <v>L420</v>
      </c>
      <c r="H420" s="138"/>
    </row>
    <row r="421" spans="1:8" x14ac:dyDescent="0.2">
      <c r="A421" s="128">
        <v>401</v>
      </c>
      <c r="B421" s="130" t="str">
        <f t="shared" si="21"/>
        <v>.</v>
      </c>
      <c r="C421" s="56" t="s">
        <v>294</v>
      </c>
      <c r="E421" s="123" t="s">
        <v>294</v>
      </c>
      <c r="G421" s="130" t="str">
        <f t="shared" si="20"/>
        <v>L421</v>
      </c>
      <c r="H421" s="140"/>
    </row>
    <row r="422" spans="1:8" x14ac:dyDescent="0.2">
      <c r="A422" s="128">
        <v>402</v>
      </c>
      <c r="B422" s="130" t="str">
        <f t="shared" si="21"/>
        <v>.</v>
      </c>
      <c r="C422" s="56" t="s">
        <v>294</v>
      </c>
      <c r="E422" s="123" t="s">
        <v>294</v>
      </c>
      <c r="G422" s="130" t="str">
        <f t="shared" si="20"/>
        <v>L422</v>
      </c>
      <c r="H422" s="140"/>
    </row>
    <row r="423" spans="1:8" x14ac:dyDescent="0.2">
      <c r="A423" s="128">
        <v>403</v>
      </c>
      <c r="B423" s="130" t="str">
        <f t="shared" si="21"/>
        <v>.</v>
      </c>
      <c r="C423" s="56" t="s">
        <v>294</v>
      </c>
      <c r="E423" s="130" t="s">
        <v>294</v>
      </c>
      <c r="F423" s="130"/>
      <c r="G423" s="130" t="str">
        <f t="shared" si="20"/>
        <v>L423</v>
      </c>
      <c r="H423" s="140"/>
    </row>
    <row r="424" spans="1:8" x14ac:dyDescent="0.2">
      <c r="A424" s="128">
        <v>404</v>
      </c>
      <c r="B424" s="130" t="str">
        <f t="shared" si="21"/>
        <v>.</v>
      </c>
      <c r="C424" s="56" t="s">
        <v>294</v>
      </c>
      <c r="D424" s="130"/>
      <c r="E424" s="130" t="s">
        <v>294</v>
      </c>
      <c r="F424" s="130"/>
      <c r="G424" s="131" t="str">
        <f t="shared" si="20"/>
        <v>L424</v>
      </c>
      <c r="H424" s="140"/>
    </row>
    <row r="425" spans="1:8" x14ac:dyDescent="0.2">
      <c r="A425" s="128">
        <v>405</v>
      </c>
      <c r="B425" s="130" t="str">
        <f t="shared" si="21"/>
        <v>compensation</v>
      </c>
      <c r="C425" s="56" t="s">
        <v>207</v>
      </c>
      <c r="D425" s="130"/>
      <c r="E425" s="130" t="s">
        <v>718</v>
      </c>
      <c r="F425" s="130"/>
      <c r="G425" s="131" t="str">
        <f t="shared" si="20"/>
        <v>L425</v>
      </c>
      <c r="H425" s="140"/>
    </row>
    <row r="426" spans="1:8" x14ac:dyDescent="0.2">
      <c r="A426" s="128">
        <v>406</v>
      </c>
      <c r="B426" s="130" t="str">
        <f t="shared" si="21"/>
        <v>période de compensation regulaire</v>
      </c>
      <c r="C426" s="131" t="s">
        <v>479</v>
      </c>
      <c r="D426" s="130"/>
      <c r="E426" s="130" t="s">
        <v>722</v>
      </c>
      <c r="F426" s="130"/>
      <c r="G426" s="131" t="str">
        <f t="shared" si="20"/>
        <v>L426</v>
      </c>
      <c r="H426" s="140"/>
    </row>
    <row r="427" spans="1:8" x14ac:dyDescent="0.2">
      <c r="A427" s="128">
        <v>407</v>
      </c>
      <c r="B427" s="130" t="str">
        <f t="shared" si="21"/>
        <v>Faire rapport à la RPBK!</v>
      </c>
      <c r="C427" s="131" t="s">
        <v>607</v>
      </c>
      <c r="D427" s="130"/>
      <c r="E427" s="130" t="s">
        <v>719</v>
      </c>
      <c r="F427" s="130"/>
      <c r="G427" s="131" t="str">
        <f t="shared" si="20"/>
        <v>L427</v>
      </c>
      <c r="H427" s="140"/>
    </row>
    <row r="428" spans="1:8" x14ac:dyDescent="0.2">
      <c r="A428" s="128">
        <v>408</v>
      </c>
      <c r="B428" s="130" t="str">
        <f t="shared" si="21"/>
        <v>statut de la compensation</v>
      </c>
      <c r="C428" s="131" t="s">
        <v>480</v>
      </c>
      <c r="E428" s="123" t="s">
        <v>720</v>
      </c>
      <c r="G428" s="131" t="str">
        <f t="shared" si="20"/>
        <v>L428</v>
      </c>
      <c r="H428" s="140"/>
    </row>
    <row r="429" spans="1:8" x14ac:dyDescent="0.2">
      <c r="A429" s="128">
        <v>409</v>
      </c>
      <c r="B429" s="130" t="str">
        <f t="shared" si="21"/>
        <v>Erreur! Surcompensation</v>
      </c>
      <c r="C429" s="131" t="s">
        <v>481</v>
      </c>
      <c r="E429" s="123" t="s">
        <v>721</v>
      </c>
      <c r="G429" s="131" t="str">
        <f t="shared" si="20"/>
        <v>L429</v>
      </c>
      <c r="H429" s="140"/>
    </row>
    <row r="430" spans="1:8" x14ac:dyDescent="0.2">
      <c r="A430" s="128">
        <v>410</v>
      </c>
      <c r="B430" s="130" t="str">
        <f t="shared" si="21"/>
        <v>.</v>
      </c>
      <c r="C430" s="56" t="s">
        <v>294</v>
      </c>
      <c r="E430" s="123" t="s">
        <v>294</v>
      </c>
      <c r="G430" s="131" t="str">
        <f t="shared" si="20"/>
        <v>L430</v>
      </c>
      <c r="H430" s="140"/>
    </row>
    <row r="431" spans="1:8" x14ac:dyDescent="0.2">
      <c r="A431" s="128">
        <v>411</v>
      </c>
      <c r="B431" s="130" t="str">
        <f t="shared" si="21"/>
        <v>.</v>
      </c>
      <c r="C431" s="56" t="s">
        <v>294</v>
      </c>
      <c r="E431" s="123" t="s">
        <v>294</v>
      </c>
      <c r="G431" s="131" t="str">
        <f t="shared" si="20"/>
        <v>L431</v>
      </c>
      <c r="H431" s="140"/>
    </row>
    <row r="432" spans="1:8" x14ac:dyDescent="0.2">
      <c r="A432" s="128">
        <v>412</v>
      </c>
      <c r="B432" s="130" t="str">
        <f t="shared" si="21"/>
        <v>se (report)</v>
      </c>
      <c r="C432" s="131" t="s">
        <v>517</v>
      </c>
      <c r="E432" s="123" t="s">
        <v>849</v>
      </c>
      <c r="G432" s="131" t="str">
        <f t="shared" si="20"/>
        <v>L432</v>
      </c>
      <c r="H432" s="140"/>
    </row>
    <row r="433" spans="1:8" x14ac:dyDescent="0.2">
      <c r="A433" s="128">
        <v>413</v>
      </c>
      <c r="B433" s="130" t="str">
        <f t="shared" si="21"/>
        <v>h</v>
      </c>
      <c r="C433" s="123" t="s">
        <v>122</v>
      </c>
      <c r="E433" s="123" t="s">
        <v>635</v>
      </c>
      <c r="G433" s="131" t="str">
        <f t="shared" si="20"/>
        <v>L433</v>
      </c>
      <c r="H433" s="140"/>
    </row>
    <row r="434" spans="1:8" x14ac:dyDescent="0.2">
      <c r="A434" s="128">
        <v>414</v>
      </c>
      <c r="B434" s="130" t="str">
        <f t="shared" si="21"/>
        <v>.</v>
      </c>
      <c r="C434" s="56" t="s">
        <v>294</v>
      </c>
      <c r="E434" s="123" t="s">
        <v>294</v>
      </c>
      <c r="G434" s="131" t="str">
        <f t="shared" si="20"/>
        <v>L434</v>
      </c>
      <c r="H434" s="140"/>
    </row>
    <row r="435" spans="1:8" x14ac:dyDescent="0.2">
      <c r="A435" s="128">
        <v>415</v>
      </c>
      <c r="B435" s="130" t="str">
        <f t="shared" si="21"/>
        <v>.</v>
      </c>
      <c r="C435" s="56" t="s">
        <v>294</v>
      </c>
      <c r="E435" s="123" t="s">
        <v>294</v>
      </c>
      <c r="G435" s="131" t="str">
        <f t="shared" si="20"/>
        <v>L435</v>
      </c>
      <c r="H435" s="140"/>
    </row>
    <row r="436" spans="1:8" x14ac:dyDescent="0.2">
      <c r="A436" s="128">
        <v>416</v>
      </c>
      <c r="B436" s="130" t="str">
        <f t="shared" si="21"/>
        <v>se negative année passée</v>
      </c>
      <c r="C436" s="123" t="s">
        <v>516</v>
      </c>
      <c r="E436" s="123" t="s">
        <v>850</v>
      </c>
      <c r="G436" s="131" t="str">
        <f t="shared" si="20"/>
        <v>L436</v>
      </c>
      <c r="H436" s="140"/>
    </row>
    <row r="437" spans="1:8" x14ac:dyDescent="0.2">
      <c r="A437" s="128">
        <v>417</v>
      </c>
      <c r="B437" s="130" t="str">
        <f t="shared" si="21"/>
        <v>.</v>
      </c>
      <c r="C437" s="56" t="s">
        <v>294</v>
      </c>
      <c r="E437" s="123" t="s">
        <v>294</v>
      </c>
      <c r="G437" s="131" t="str">
        <f t="shared" si="20"/>
        <v>L437</v>
      </c>
      <c r="H437" s="140"/>
    </row>
    <row r="438" spans="1:8" x14ac:dyDescent="0.2">
      <c r="A438" s="128">
        <v>418</v>
      </c>
      <c r="B438" s="130" t="str">
        <f t="shared" si="21"/>
        <v>compensé</v>
      </c>
      <c r="C438" s="123" t="str">
        <f>"kompensiert: "</f>
        <v xml:space="preserve">kompensiert: </v>
      </c>
      <c r="E438" s="123" t="s">
        <v>723</v>
      </c>
      <c r="G438" s="131" t="str">
        <f t="shared" si="20"/>
        <v>L438</v>
      </c>
      <c r="H438" s="140"/>
    </row>
    <row r="439" spans="1:8" x14ac:dyDescent="0.2">
      <c r="A439" s="128">
        <v>419</v>
      </c>
      <c r="B439" s="130" t="str">
        <f t="shared" si="21"/>
        <v xml:space="preserve">   payé </v>
      </c>
      <c r="C439" s="130" t="str">
        <f>"   "&amp;"ausbezahlt "</f>
        <v xml:space="preserve">   ausbezahlt </v>
      </c>
      <c r="E439" s="123" t="s">
        <v>824</v>
      </c>
      <c r="G439" s="131" t="str">
        <f t="shared" si="20"/>
        <v>L439</v>
      </c>
      <c r="H439" s="140"/>
    </row>
    <row r="440" spans="1:8" x14ac:dyDescent="0.2">
      <c r="A440" s="128">
        <v>420</v>
      </c>
      <c r="B440" s="130" t="str">
        <f t="shared" si="21"/>
        <v xml:space="preserve">   |   reste: </v>
      </c>
      <c r="C440" s="130" t="str">
        <f>"   |   Rest: "</f>
        <v xml:space="preserve">   |   Rest: </v>
      </c>
      <c r="E440" s="123" t="s">
        <v>825</v>
      </c>
      <c r="G440" s="131" t="str">
        <f t="shared" si="20"/>
        <v>L440</v>
      </c>
      <c r="H440" s="140"/>
    </row>
    <row r="441" spans="1:8" x14ac:dyDescent="0.2">
      <c r="A441" s="128">
        <v>421</v>
      </c>
      <c r="B441" s="130" t="str">
        <f t="shared" si="21"/>
        <v>.</v>
      </c>
      <c r="C441" s="56" t="s">
        <v>294</v>
      </c>
      <c r="E441" s="123" t="s">
        <v>294</v>
      </c>
      <c r="G441" s="131" t="str">
        <f t="shared" si="20"/>
        <v>L441</v>
      </c>
      <c r="H441" s="140"/>
    </row>
    <row r="442" spans="1:8" x14ac:dyDescent="0.2">
      <c r="A442" s="128">
        <v>422</v>
      </c>
      <c r="B442" s="130" t="str">
        <f t="shared" si="21"/>
        <v>.</v>
      </c>
      <c r="C442" s="56" t="s">
        <v>294</v>
      </c>
      <c r="E442" s="123" t="s">
        <v>294</v>
      </c>
      <c r="G442" s="131" t="str">
        <f t="shared" si="20"/>
        <v>L442</v>
      </c>
      <c r="H442" s="140"/>
    </row>
    <row r="443" spans="1:8" x14ac:dyDescent="0.2">
      <c r="A443" s="128">
        <v>423</v>
      </c>
      <c r="B443" s="130" t="str">
        <f t="shared" si="21"/>
        <v>.</v>
      </c>
      <c r="C443" s="56" t="s">
        <v>294</v>
      </c>
      <c r="E443" s="123" t="s">
        <v>294</v>
      </c>
      <c r="G443" s="130" t="str">
        <f t="shared" si="20"/>
        <v>L443</v>
      </c>
      <c r="H443" s="140"/>
    </row>
    <row r="444" spans="1:8" x14ac:dyDescent="0.2">
      <c r="A444" s="128">
        <v>424</v>
      </c>
      <c r="B444" s="130" t="str">
        <f t="shared" si="21"/>
        <v>.</v>
      </c>
      <c r="C444" s="56" t="s">
        <v>294</v>
      </c>
      <c r="E444" s="123" t="s">
        <v>294</v>
      </c>
      <c r="G444" s="130" t="str">
        <f t="shared" si="20"/>
        <v>L444</v>
      </c>
      <c r="H444" s="140"/>
    </row>
    <row r="445" spans="1:8" x14ac:dyDescent="0.2">
      <c r="A445" s="128">
        <v>425</v>
      </c>
      <c r="B445" s="130" t="str">
        <f t="shared" si="21"/>
        <v>.</v>
      </c>
      <c r="C445" s="56" t="s">
        <v>294</v>
      </c>
      <c r="E445" s="123" t="s">
        <v>294</v>
      </c>
      <c r="G445" s="130" t="str">
        <f t="shared" si="20"/>
        <v>L445</v>
      </c>
      <c r="H445" s="140"/>
    </row>
    <row r="446" spans="1:8" x14ac:dyDescent="0.2">
      <c r="A446" s="128">
        <v>426</v>
      </c>
      <c r="B446" s="130" t="str">
        <f t="shared" si="21"/>
        <v>vacances (contrôle)</v>
      </c>
      <c r="C446" s="131" t="s">
        <v>473</v>
      </c>
      <c r="D446" s="130"/>
      <c r="E446" s="130" t="s">
        <v>738</v>
      </c>
      <c r="F446" s="130"/>
      <c r="G446" s="130" t="str">
        <f t="shared" si="20"/>
        <v>L446</v>
      </c>
      <c r="H446" s="140"/>
    </row>
    <row r="447" spans="1:8" x14ac:dyDescent="0.2">
      <c r="A447" s="128">
        <v>427</v>
      </c>
      <c r="B447" s="130" t="str">
        <f t="shared" si="21"/>
        <v>vacances année passée</v>
      </c>
      <c r="C447" s="131" t="s">
        <v>474</v>
      </c>
      <c r="D447" s="130"/>
      <c r="E447" s="130" t="s">
        <v>739</v>
      </c>
      <c r="F447" s="130"/>
      <c r="G447" s="130" t="str">
        <f t="shared" si="20"/>
        <v>L447</v>
      </c>
      <c r="H447" s="140"/>
    </row>
    <row r="448" spans="1:8" x14ac:dyDescent="0.2">
      <c r="A448" s="128">
        <v>428</v>
      </c>
      <c r="B448" s="130" t="str">
        <f t="shared" si="21"/>
        <v>vacances selon CCT</v>
      </c>
      <c r="C448" s="131" t="s">
        <v>475</v>
      </c>
      <c r="D448" s="130"/>
      <c r="E448" s="130" t="s">
        <v>740</v>
      </c>
      <c r="F448" s="130"/>
      <c r="G448" s="130" t="str">
        <f t="shared" si="20"/>
        <v>L448</v>
      </c>
      <c r="H448" s="140"/>
    </row>
    <row r="449" spans="1:8" x14ac:dyDescent="0.2">
      <c r="A449" s="128">
        <v>429</v>
      </c>
      <c r="B449" s="130" t="str">
        <f t="shared" ref="B449:B480" si="22">HLOOKUP($B$13,$C$21:$G$820,A449,FALSE)</f>
        <v>total des vacances</v>
      </c>
      <c r="C449" s="131" t="s">
        <v>476</v>
      </c>
      <c r="D449" s="130"/>
      <c r="E449" s="130" t="s">
        <v>741</v>
      </c>
      <c r="F449" s="130"/>
      <c r="G449" s="130" t="str">
        <f t="shared" si="20"/>
        <v>L449</v>
      </c>
      <c r="H449" s="140"/>
    </row>
    <row r="450" spans="1:8" x14ac:dyDescent="0.2">
      <c r="A450" s="128">
        <v>430</v>
      </c>
      <c r="B450" s="130" t="str">
        <f t="shared" si="22"/>
        <v>vacances prises</v>
      </c>
      <c r="C450" s="131" t="s">
        <v>477</v>
      </c>
      <c r="D450" s="130"/>
      <c r="E450" s="130" t="s">
        <v>742</v>
      </c>
      <c r="F450" s="130"/>
      <c r="G450" s="130" t="str">
        <f t="shared" si="20"/>
        <v>L450</v>
      </c>
      <c r="H450" s="140"/>
    </row>
    <row r="451" spans="1:8" x14ac:dyDescent="0.2">
      <c r="A451" s="128">
        <v>431</v>
      </c>
      <c r="B451" s="130" t="str">
        <f t="shared" si="22"/>
        <v>vacances (corrections)</v>
      </c>
      <c r="C451" s="131" t="s">
        <v>478</v>
      </c>
      <c r="D451" s="130"/>
      <c r="E451" s="130" t="s">
        <v>713</v>
      </c>
      <c r="F451" s="130"/>
      <c r="G451" s="130" t="str">
        <f t="shared" si="20"/>
        <v>L451</v>
      </c>
      <c r="H451" s="140"/>
    </row>
    <row r="452" spans="1:8" x14ac:dyDescent="0.2">
      <c r="A452" s="128">
        <v>432</v>
      </c>
      <c r="B452" s="130">
        <f t="shared" si="22"/>
        <v>0</v>
      </c>
      <c r="C452" s="130"/>
      <c r="D452" s="130"/>
      <c r="E452" s="130"/>
      <c r="F452" s="130"/>
      <c r="G452" s="130" t="str">
        <f t="shared" si="20"/>
        <v>L452</v>
      </c>
      <c r="H452" s="140"/>
    </row>
    <row r="453" spans="1:8" x14ac:dyDescent="0.2">
      <c r="A453" s="128">
        <v>433</v>
      </c>
      <c r="B453" s="130">
        <f t="shared" si="22"/>
        <v>0</v>
      </c>
      <c r="C453" s="130"/>
      <c r="D453" s="130"/>
      <c r="E453" s="130"/>
      <c r="F453" s="130"/>
      <c r="G453" s="130" t="str">
        <f t="shared" si="20"/>
        <v>L453</v>
      </c>
      <c r="H453" s="140"/>
    </row>
    <row r="454" spans="1:8" x14ac:dyDescent="0.2">
      <c r="A454" s="128">
        <v>434</v>
      </c>
      <c r="B454" s="130">
        <f t="shared" si="22"/>
        <v>0</v>
      </c>
      <c r="C454" s="130"/>
      <c r="D454" s="130"/>
      <c r="E454" s="130"/>
      <c r="F454" s="130"/>
      <c r="G454" s="130" t="str">
        <f t="shared" si="20"/>
        <v>L454</v>
      </c>
      <c r="H454" s="140"/>
    </row>
    <row r="455" spans="1:8" x14ac:dyDescent="0.2">
      <c r="A455" s="128">
        <v>435</v>
      </c>
      <c r="B455" s="130" t="str">
        <f t="shared" si="22"/>
        <v>contrôle de carence</v>
      </c>
      <c r="C455" s="56" t="s">
        <v>583</v>
      </c>
      <c r="D455" s="130"/>
      <c r="E455" s="130" t="s">
        <v>710</v>
      </c>
      <c r="F455" s="130"/>
      <c r="G455" s="130" t="str">
        <f t="shared" si="20"/>
        <v>L455</v>
      </c>
      <c r="H455" s="140"/>
    </row>
    <row r="456" spans="1:8" x14ac:dyDescent="0.2">
      <c r="A456" s="128">
        <v>436</v>
      </c>
      <c r="B456" s="130" t="str">
        <f t="shared" si="22"/>
        <v>heures de carence total</v>
      </c>
      <c r="C456" s="56" t="s">
        <v>584</v>
      </c>
      <c r="D456" s="130"/>
      <c r="E456" s="130" t="s">
        <v>711</v>
      </c>
      <c r="F456" s="130"/>
      <c r="G456" s="130" t="str">
        <f t="shared" si="20"/>
        <v>L456</v>
      </c>
      <c r="H456" s="140"/>
    </row>
    <row r="457" spans="1:8" x14ac:dyDescent="0.2">
      <c r="A457" s="128">
        <v>437</v>
      </c>
      <c r="B457" s="130" t="str">
        <f t="shared" si="22"/>
        <v>compensé par heures</v>
      </c>
      <c r="C457" s="56" t="s">
        <v>586</v>
      </c>
      <c r="D457" s="130"/>
      <c r="E457" s="130" t="s">
        <v>709</v>
      </c>
      <c r="F457" s="130"/>
      <c r="G457" s="130" t="str">
        <f t="shared" si="20"/>
        <v>L457</v>
      </c>
      <c r="H457" s="140"/>
    </row>
    <row r="458" spans="1:8" x14ac:dyDescent="0.2">
      <c r="A458" s="128">
        <v>438</v>
      </c>
      <c r="B458" s="130" t="str">
        <f t="shared" si="22"/>
        <v>compensé par salaire</v>
      </c>
      <c r="C458" s="56" t="s">
        <v>587</v>
      </c>
      <c r="D458" s="130"/>
      <c r="E458" s="130" t="s">
        <v>708</v>
      </c>
      <c r="F458" s="130"/>
      <c r="G458" s="130" t="str">
        <f t="shared" si="20"/>
        <v>L458</v>
      </c>
      <c r="H458" s="140"/>
    </row>
    <row r="459" spans="1:8" ht="25.5" x14ac:dyDescent="0.2">
      <c r="A459" s="128">
        <v>439</v>
      </c>
      <c r="B459" s="130" t="str">
        <f t="shared" si="22"/>
        <v>veuillez facturer les heures de carence correctement</v>
      </c>
      <c r="C459" s="56" t="s">
        <v>590</v>
      </c>
      <c r="D459" s="130"/>
      <c r="E459" s="130" t="s">
        <v>712</v>
      </c>
      <c r="F459" s="130"/>
      <c r="G459" s="130" t="str">
        <f t="shared" si="20"/>
        <v>L459</v>
      </c>
      <c r="H459" s="140"/>
    </row>
    <row r="460" spans="1:8" x14ac:dyDescent="0.2">
      <c r="A460" s="128">
        <v>440</v>
      </c>
      <c r="B460" s="130" t="str">
        <f t="shared" si="22"/>
        <v>jours de carence facturés correctement</v>
      </c>
      <c r="C460" s="56" t="s">
        <v>591</v>
      </c>
      <c r="D460" s="130"/>
      <c r="E460" s="130" t="s">
        <v>707</v>
      </c>
      <c r="F460" s="130"/>
      <c r="G460" s="130" t="str">
        <f t="shared" si="20"/>
        <v>L460</v>
      </c>
      <c r="H460" s="140"/>
    </row>
    <row r="461" spans="1:8" ht="25.5" x14ac:dyDescent="0.2">
      <c r="A461" s="128">
        <v>441</v>
      </c>
      <c r="B461" s="130" t="str">
        <f t="shared" si="22"/>
        <v>pas de carence - veuillez mettre les champs à zéro</v>
      </c>
      <c r="C461" s="123" t="s">
        <v>606</v>
      </c>
      <c r="D461" s="130"/>
      <c r="E461" s="130" t="s">
        <v>706</v>
      </c>
      <c r="F461" s="130"/>
      <c r="G461" s="130" t="str">
        <f t="shared" si="20"/>
        <v>L461</v>
      </c>
      <c r="H461" s="140"/>
    </row>
    <row r="462" spans="1:8" x14ac:dyDescent="0.2">
      <c r="A462" s="128">
        <v>442</v>
      </c>
      <c r="B462" s="130">
        <f t="shared" si="22"/>
        <v>0</v>
      </c>
      <c r="D462" s="130"/>
      <c r="E462" s="130"/>
      <c r="F462" s="130"/>
      <c r="G462" s="130" t="str">
        <f t="shared" si="20"/>
        <v>L462</v>
      </c>
      <c r="H462" s="140"/>
    </row>
    <row r="463" spans="1:8" x14ac:dyDescent="0.2">
      <c r="A463" s="128">
        <v>443</v>
      </c>
      <c r="B463" s="130">
        <f t="shared" si="22"/>
        <v>0</v>
      </c>
      <c r="D463" s="130"/>
      <c r="E463" s="130"/>
      <c r="F463" s="130"/>
      <c r="G463" s="130" t="str">
        <f t="shared" si="20"/>
        <v>L463</v>
      </c>
      <c r="H463" s="140"/>
    </row>
    <row r="464" spans="1:8" x14ac:dyDescent="0.2">
      <c r="A464" s="128">
        <v>444</v>
      </c>
      <c r="B464" s="130" t="str">
        <f t="shared" si="22"/>
        <v>report pour l'année</v>
      </c>
      <c r="C464" s="131" t="s">
        <v>483</v>
      </c>
      <c r="D464" s="130"/>
      <c r="E464" s="130" t="s">
        <v>705</v>
      </c>
      <c r="F464" s="130"/>
      <c r="G464" s="130" t="str">
        <f t="shared" si="20"/>
        <v>L464</v>
      </c>
      <c r="H464" s="140"/>
    </row>
    <row r="465" spans="1:8" x14ac:dyDescent="0.2">
      <c r="A465" s="128">
        <v>445</v>
      </c>
      <c r="B465" s="130" t="str">
        <f t="shared" si="22"/>
        <v>se des heures</v>
      </c>
      <c r="C465" s="131" t="s">
        <v>310</v>
      </c>
      <c r="D465" s="130"/>
      <c r="E465" s="130" t="s">
        <v>844</v>
      </c>
      <c r="F465" s="130"/>
      <c r="G465" s="130" t="str">
        <f t="shared" si="20"/>
        <v>L465</v>
      </c>
      <c r="H465" s="140"/>
    </row>
    <row r="466" spans="1:8" x14ac:dyDescent="0.2">
      <c r="A466" s="128">
        <v>446</v>
      </c>
      <c r="B466" s="130" t="str">
        <f t="shared" si="22"/>
        <v>vacances report</v>
      </c>
      <c r="C466" s="131" t="s">
        <v>484</v>
      </c>
      <c r="D466" s="130"/>
      <c r="E466" s="130" t="s">
        <v>704</v>
      </c>
      <c r="F466" s="130"/>
      <c r="G466" s="130" t="str">
        <f t="shared" si="20"/>
        <v>L466</v>
      </c>
      <c r="H466" s="140"/>
    </row>
    <row r="467" spans="1:8" x14ac:dyDescent="0.2">
      <c r="A467" s="128">
        <v>447</v>
      </c>
      <c r="B467" s="130">
        <f t="shared" si="22"/>
        <v>0</v>
      </c>
      <c r="G467" s="130" t="str">
        <f t="shared" si="20"/>
        <v>L467</v>
      </c>
      <c r="H467" s="140"/>
    </row>
    <row r="468" spans="1:8" x14ac:dyDescent="0.2">
      <c r="A468" s="128">
        <v>448</v>
      </c>
      <c r="B468" s="130">
        <f t="shared" si="22"/>
        <v>0</v>
      </c>
      <c r="G468" s="130" t="str">
        <f t="shared" si="20"/>
        <v>L468</v>
      </c>
      <c r="H468" s="140"/>
    </row>
    <row r="469" spans="1:8" x14ac:dyDescent="0.2">
      <c r="A469" s="128">
        <v>449</v>
      </c>
      <c r="B469" s="130">
        <f t="shared" si="22"/>
        <v>0</v>
      </c>
      <c r="G469" s="130" t="str">
        <f t="shared" si="20"/>
        <v>L469</v>
      </c>
      <c r="H469" s="140"/>
    </row>
    <row r="470" spans="1:8" x14ac:dyDescent="0.2">
      <c r="A470" s="128">
        <v>450</v>
      </c>
      <c r="B470" s="130">
        <f t="shared" si="22"/>
        <v>0</v>
      </c>
      <c r="G470" s="130" t="str">
        <f t="shared" si="20"/>
        <v>L470</v>
      </c>
      <c r="H470" s="140"/>
    </row>
    <row r="471" spans="1:8" x14ac:dyDescent="0.2">
      <c r="A471" s="128">
        <v>451</v>
      </c>
      <c r="B471" s="130">
        <f t="shared" si="22"/>
        <v>0</v>
      </c>
      <c r="G471" s="130" t="str">
        <f t="shared" si="20"/>
        <v>L471</v>
      </c>
      <c r="H471" s="140"/>
    </row>
    <row r="472" spans="1:8" x14ac:dyDescent="0.2">
      <c r="A472" s="128">
        <v>452</v>
      </c>
      <c r="B472" s="130">
        <f t="shared" si="22"/>
        <v>0</v>
      </c>
      <c r="G472" s="130" t="str">
        <f t="shared" si="20"/>
        <v>L472</v>
      </c>
      <c r="H472" s="140"/>
    </row>
    <row r="473" spans="1:8" x14ac:dyDescent="0.2">
      <c r="A473" s="128">
        <v>453</v>
      </c>
      <c r="B473" s="130">
        <f t="shared" si="22"/>
        <v>0</v>
      </c>
      <c r="G473" s="130" t="str">
        <f t="shared" ref="G473:G536" si="23">"L"&amp;ROW()</f>
        <v>L473</v>
      </c>
      <c r="H473" s="140"/>
    </row>
    <row r="474" spans="1:8" x14ac:dyDescent="0.2">
      <c r="A474" s="128">
        <v>454</v>
      </c>
      <c r="B474" s="130">
        <f t="shared" si="22"/>
        <v>0</v>
      </c>
      <c r="G474" s="130" t="str">
        <f t="shared" si="23"/>
        <v>L474</v>
      </c>
      <c r="H474" s="140"/>
    </row>
    <row r="475" spans="1:8" ht="25.5" x14ac:dyDescent="0.2">
      <c r="A475" s="128">
        <v>455</v>
      </c>
      <c r="B475" s="130" t="str">
        <f t="shared" si="22"/>
        <v>J'ai contrôlé les comptes annuels et vérifié leur exactitude.</v>
      </c>
      <c r="C475" s="131" t="s">
        <v>482</v>
      </c>
      <c r="E475" s="123" t="s">
        <v>703</v>
      </c>
      <c r="G475" s="130" t="str">
        <f t="shared" si="23"/>
        <v>L475</v>
      </c>
      <c r="H475" s="140"/>
    </row>
    <row r="476" spans="1:8" x14ac:dyDescent="0.2">
      <c r="A476" s="128">
        <v>456</v>
      </c>
      <c r="B476" s="130">
        <f t="shared" si="22"/>
        <v>0</v>
      </c>
      <c r="G476" s="130" t="str">
        <f t="shared" si="23"/>
        <v>L476</v>
      </c>
      <c r="H476" s="140"/>
    </row>
    <row r="477" spans="1:8" x14ac:dyDescent="0.2">
      <c r="A477" s="128">
        <v>457</v>
      </c>
      <c r="B477" s="130">
        <f t="shared" si="22"/>
        <v>0</v>
      </c>
      <c r="G477" s="130" t="str">
        <f t="shared" si="23"/>
        <v>L477</v>
      </c>
      <c r="H477" s="140"/>
    </row>
    <row r="478" spans="1:8" x14ac:dyDescent="0.2">
      <c r="A478" s="128">
        <v>458</v>
      </c>
      <c r="B478" s="130">
        <f t="shared" si="22"/>
        <v>0</v>
      </c>
      <c r="G478" s="130" t="str">
        <f t="shared" si="23"/>
        <v>L478</v>
      </c>
      <c r="H478" s="140"/>
    </row>
    <row r="479" spans="1:8" x14ac:dyDescent="0.2">
      <c r="A479" s="128">
        <v>459</v>
      </c>
      <c r="B479" s="130">
        <f t="shared" si="22"/>
        <v>0</v>
      </c>
      <c r="G479" s="130" t="str">
        <f t="shared" si="23"/>
        <v>L479</v>
      </c>
      <c r="H479" s="140"/>
    </row>
    <row r="480" spans="1:8" x14ac:dyDescent="0.2">
      <c r="A480" s="128">
        <v>460</v>
      </c>
      <c r="B480" s="130">
        <f t="shared" si="22"/>
        <v>0</v>
      </c>
      <c r="G480" s="130" t="str">
        <f t="shared" si="23"/>
        <v>L480</v>
      </c>
      <c r="H480" s="140"/>
    </row>
    <row r="481" spans="1:8" x14ac:dyDescent="0.2">
      <c r="A481" s="128">
        <v>461</v>
      </c>
      <c r="B481" s="130">
        <f t="shared" ref="B481:B499" si="24">HLOOKUP($B$13,$C$21:$G$820,A481,FALSE)</f>
        <v>0</v>
      </c>
      <c r="G481" s="130" t="str">
        <f t="shared" si="23"/>
        <v>L481</v>
      </c>
      <c r="H481" s="140"/>
    </row>
    <row r="482" spans="1:8" x14ac:dyDescent="0.2">
      <c r="A482" s="128">
        <v>462</v>
      </c>
      <c r="B482" s="130">
        <f t="shared" si="24"/>
        <v>0</v>
      </c>
      <c r="G482" s="130" t="str">
        <f t="shared" si="23"/>
        <v>L482</v>
      </c>
      <c r="H482" s="140"/>
    </row>
    <row r="483" spans="1:8" x14ac:dyDescent="0.2">
      <c r="A483" s="128">
        <v>463</v>
      </c>
      <c r="B483" s="130">
        <f t="shared" si="24"/>
        <v>0</v>
      </c>
      <c r="G483" s="130" t="str">
        <f t="shared" si="23"/>
        <v>L483</v>
      </c>
      <c r="H483" s="140"/>
    </row>
    <row r="484" spans="1:8" x14ac:dyDescent="0.2">
      <c r="A484" s="128">
        <v>464</v>
      </c>
      <c r="B484" s="130">
        <f t="shared" si="24"/>
        <v>0</v>
      </c>
      <c r="G484" s="130" t="str">
        <f t="shared" si="23"/>
        <v>L484</v>
      </c>
      <c r="H484" s="140"/>
    </row>
    <row r="485" spans="1:8" x14ac:dyDescent="0.2">
      <c r="A485" s="128">
        <v>465</v>
      </c>
      <c r="B485" s="130">
        <f t="shared" si="24"/>
        <v>0</v>
      </c>
      <c r="G485" s="130" t="str">
        <f t="shared" si="23"/>
        <v>L485</v>
      </c>
      <c r="H485" s="140"/>
    </row>
    <row r="486" spans="1:8" x14ac:dyDescent="0.2">
      <c r="A486" s="128">
        <v>466</v>
      </c>
      <c r="B486" s="130">
        <f t="shared" si="24"/>
        <v>0</v>
      </c>
      <c r="G486" s="130" t="str">
        <f t="shared" si="23"/>
        <v>L486</v>
      </c>
      <c r="H486" s="140"/>
    </row>
    <row r="487" spans="1:8" x14ac:dyDescent="0.2">
      <c r="A487" s="128">
        <v>467</v>
      </c>
      <c r="B487" s="130">
        <f t="shared" si="24"/>
        <v>0</v>
      </c>
      <c r="G487" s="130" t="str">
        <f t="shared" si="23"/>
        <v>L487</v>
      </c>
      <c r="H487" s="140"/>
    </row>
    <row r="488" spans="1:8" x14ac:dyDescent="0.2">
      <c r="A488" s="128">
        <v>468</v>
      </c>
      <c r="B488" s="130">
        <f t="shared" si="24"/>
        <v>0</v>
      </c>
      <c r="G488" s="130" t="str">
        <f t="shared" si="23"/>
        <v>L488</v>
      </c>
      <c r="H488" s="140"/>
    </row>
    <row r="489" spans="1:8" x14ac:dyDescent="0.2">
      <c r="A489" s="128">
        <v>469</v>
      </c>
      <c r="B489" s="130">
        <f t="shared" si="24"/>
        <v>0</v>
      </c>
      <c r="G489" s="130" t="str">
        <f t="shared" si="23"/>
        <v>L489</v>
      </c>
      <c r="H489" s="140"/>
    </row>
    <row r="490" spans="1:8" x14ac:dyDescent="0.2">
      <c r="A490" s="128">
        <v>470</v>
      </c>
      <c r="B490" s="130">
        <f t="shared" si="24"/>
        <v>0</v>
      </c>
      <c r="G490" s="130" t="str">
        <f t="shared" si="23"/>
        <v>L490</v>
      </c>
      <c r="H490" s="140"/>
    </row>
    <row r="491" spans="1:8" x14ac:dyDescent="0.2">
      <c r="A491" s="128">
        <v>471</v>
      </c>
      <c r="B491" s="130">
        <f t="shared" si="24"/>
        <v>0</v>
      </c>
      <c r="G491" s="130" t="str">
        <f t="shared" si="23"/>
        <v>L491</v>
      </c>
      <c r="H491" s="140"/>
    </row>
    <row r="492" spans="1:8" x14ac:dyDescent="0.2">
      <c r="A492" s="128">
        <v>472</v>
      </c>
      <c r="B492" s="130">
        <f t="shared" si="24"/>
        <v>0</v>
      </c>
      <c r="G492" s="130" t="str">
        <f t="shared" si="23"/>
        <v>L492</v>
      </c>
      <c r="H492" s="140"/>
    </row>
    <row r="493" spans="1:8" x14ac:dyDescent="0.2">
      <c r="A493" s="128">
        <v>473</v>
      </c>
      <c r="B493" s="130">
        <f t="shared" si="24"/>
        <v>0</v>
      </c>
      <c r="G493" s="130" t="str">
        <f t="shared" si="23"/>
        <v>L493</v>
      </c>
      <c r="H493" s="140"/>
    </row>
    <row r="494" spans="1:8" x14ac:dyDescent="0.2">
      <c r="A494" s="128">
        <v>474</v>
      </c>
      <c r="B494" s="130">
        <f t="shared" si="24"/>
        <v>0</v>
      </c>
      <c r="G494" s="130" t="str">
        <f t="shared" si="23"/>
        <v>L494</v>
      </c>
      <c r="H494" s="140"/>
    </row>
    <row r="495" spans="1:8" x14ac:dyDescent="0.2">
      <c r="A495" s="128">
        <v>475</v>
      </c>
      <c r="B495" s="130">
        <f t="shared" si="24"/>
        <v>0</v>
      </c>
      <c r="G495" s="130" t="str">
        <f t="shared" si="23"/>
        <v>L495</v>
      </c>
      <c r="H495" s="140"/>
    </row>
    <row r="496" spans="1:8" x14ac:dyDescent="0.2">
      <c r="A496" s="128">
        <v>476</v>
      </c>
      <c r="B496" s="130">
        <f t="shared" si="24"/>
        <v>0</v>
      </c>
      <c r="G496" s="130" t="str">
        <f t="shared" si="23"/>
        <v>L496</v>
      </c>
      <c r="H496" s="140"/>
    </row>
    <row r="497" spans="1:8" x14ac:dyDescent="0.2">
      <c r="A497" s="128">
        <v>477</v>
      </c>
      <c r="B497" s="130">
        <f t="shared" si="24"/>
        <v>0</v>
      </c>
      <c r="G497" s="130" t="str">
        <f t="shared" si="23"/>
        <v>L497</v>
      </c>
      <c r="H497" s="140"/>
    </row>
    <row r="498" spans="1:8" x14ac:dyDescent="0.2">
      <c r="A498" s="128">
        <v>478</v>
      </c>
      <c r="B498" s="130">
        <f t="shared" si="24"/>
        <v>0</v>
      </c>
      <c r="G498" s="130" t="str">
        <f t="shared" si="23"/>
        <v>L498</v>
      </c>
      <c r="H498" s="140"/>
    </row>
    <row r="499" spans="1:8" x14ac:dyDescent="0.2">
      <c r="A499" s="128">
        <v>479</v>
      </c>
      <c r="B499" s="130">
        <f t="shared" si="24"/>
        <v>0</v>
      </c>
      <c r="G499" s="130" t="str">
        <f t="shared" si="23"/>
        <v>L499</v>
      </c>
      <c r="H499" s="140"/>
    </row>
    <row r="500" spans="1:8" x14ac:dyDescent="0.2">
      <c r="A500" s="128">
        <v>480</v>
      </c>
      <c r="B500" s="132" t="s">
        <v>485</v>
      </c>
      <c r="C500" s="129"/>
      <c r="D500" s="129"/>
      <c r="E500" s="129"/>
      <c r="F500" s="129"/>
      <c r="G500" s="129" t="str">
        <f t="shared" si="23"/>
        <v>L500</v>
      </c>
      <c r="H500" s="139"/>
    </row>
    <row r="501" spans="1:8" x14ac:dyDescent="0.2">
      <c r="A501" s="128">
        <v>481</v>
      </c>
      <c r="B501" s="130">
        <f t="shared" ref="B501:B564" si="25">HLOOKUP($B$13,$C$21:$G$820,A501,FALSE)</f>
        <v>0</v>
      </c>
      <c r="G501" s="130" t="str">
        <f t="shared" si="23"/>
        <v>L501</v>
      </c>
      <c r="H501" s="140"/>
    </row>
    <row r="502" spans="1:8" x14ac:dyDescent="0.2">
      <c r="A502" s="128">
        <v>482</v>
      </c>
      <c r="B502" s="130" t="str">
        <f t="shared" si="25"/>
        <v>Maternité art. 15 CCT</v>
      </c>
      <c r="C502" s="131" t="s">
        <v>808</v>
      </c>
      <c r="D502" s="131" t="s">
        <v>428</v>
      </c>
      <c r="E502" s="131" t="s">
        <v>755</v>
      </c>
      <c r="F502" s="131" t="s">
        <v>756</v>
      </c>
      <c r="G502" s="130" t="str">
        <f t="shared" si="23"/>
        <v>L502</v>
      </c>
      <c r="H502" s="140"/>
    </row>
    <row r="503" spans="1:8" x14ac:dyDescent="0.2">
      <c r="A503" s="128">
        <v>483</v>
      </c>
      <c r="B503" s="130">
        <f t="shared" si="25"/>
        <v>0</v>
      </c>
      <c r="C503" s="56" t="s">
        <v>294</v>
      </c>
      <c r="G503" s="130" t="str">
        <f t="shared" si="23"/>
        <v>L503</v>
      </c>
      <c r="H503" s="140"/>
    </row>
    <row r="504" spans="1:8" x14ac:dyDescent="0.2">
      <c r="A504" s="128">
        <v>484</v>
      </c>
      <c r="B504" s="130" t="str">
        <f t="shared" si="25"/>
        <v>mp</v>
      </c>
      <c r="C504" s="131" t="s">
        <v>196</v>
      </c>
      <c r="D504" s="130"/>
      <c r="E504" s="131" t="s">
        <v>754</v>
      </c>
      <c r="F504" s="130" t="s">
        <v>754</v>
      </c>
      <c r="G504" s="130" t="str">
        <f t="shared" si="23"/>
        <v>L504</v>
      </c>
      <c r="H504" s="140"/>
    </row>
    <row r="505" spans="1:8" x14ac:dyDescent="0.2">
      <c r="A505" s="128">
        <v>485</v>
      </c>
      <c r="B505" s="130">
        <f t="shared" si="25"/>
        <v>0</v>
      </c>
      <c r="G505" s="130" t="str">
        <f t="shared" si="23"/>
        <v>L505</v>
      </c>
      <c r="H505" s="140"/>
    </row>
    <row r="506" spans="1:8" x14ac:dyDescent="0.2">
      <c r="A506" s="128">
        <v>486</v>
      </c>
      <c r="B506" s="130">
        <f t="shared" si="25"/>
        <v>0</v>
      </c>
      <c r="G506" s="130" t="str">
        <f t="shared" si="23"/>
        <v>L506</v>
      </c>
      <c r="H506" s="140"/>
    </row>
    <row r="507" spans="1:8" x14ac:dyDescent="0.2">
      <c r="A507" s="128">
        <v>487</v>
      </c>
      <c r="B507" s="130">
        <f t="shared" si="25"/>
        <v>0</v>
      </c>
      <c r="G507" s="130" t="str">
        <f t="shared" si="23"/>
        <v>L507</v>
      </c>
      <c r="H507" s="140"/>
    </row>
    <row r="508" spans="1:8" x14ac:dyDescent="0.2">
      <c r="A508" s="128">
        <v>488</v>
      </c>
      <c r="B508" s="130">
        <f t="shared" si="25"/>
        <v>0</v>
      </c>
      <c r="G508" s="130" t="str">
        <f t="shared" si="23"/>
        <v>L508</v>
      </c>
      <c r="H508" s="140"/>
    </row>
    <row r="509" spans="1:8" x14ac:dyDescent="0.2">
      <c r="A509" s="128">
        <v>489</v>
      </c>
      <c r="B509" s="130">
        <f t="shared" si="25"/>
        <v>0</v>
      </c>
      <c r="G509" s="130" t="str">
        <f t="shared" si="23"/>
        <v>L509</v>
      </c>
      <c r="H509" s="140"/>
    </row>
    <row r="510" spans="1:8" x14ac:dyDescent="0.2">
      <c r="A510" s="128">
        <v>490</v>
      </c>
      <c r="B510" s="130">
        <f t="shared" si="25"/>
        <v>0</v>
      </c>
      <c r="G510" s="130" t="str">
        <f t="shared" si="23"/>
        <v>L510</v>
      </c>
      <c r="H510" s="140"/>
    </row>
    <row r="511" spans="1:8" x14ac:dyDescent="0.2">
      <c r="A511" s="128">
        <v>491</v>
      </c>
      <c r="B511" s="130">
        <f t="shared" si="25"/>
        <v>0</v>
      </c>
      <c r="G511" s="130" t="str">
        <f t="shared" si="23"/>
        <v>L511</v>
      </c>
      <c r="H511" s="140"/>
    </row>
    <row r="512" spans="1:8" x14ac:dyDescent="0.2">
      <c r="A512" s="128">
        <v>492</v>
      </c>
      <c r="B512" s="130">
        <f t="shared" si="25"/>
        <v>0</v>
      </c>
      <c r="G512" s="131" t="str">
        <f t="shared" si="23"/>
        <v>L512</v>
      </c>
      <c r="H512" s="140"/>
    </row>
    <row r="513" spans="1:8" x14ac:dyDescent="0.2">
      <c r="A513" s="128">
        <v>493</v>
      </c>
      <c r="B513" s="130">
        <f t="shared" si="25"/>
        <v>0</v>
      </c>
      <c r="G513" s="130" t="str">
        <f t="shared" si="23"/>
        <v>L513</v>
      </c>
      <c r="H513" s="140"/>
    </row>
    <row r="514" spans="1:8" x14ac:dyDescent="0.2">
      <c r="A514" s="128">
        <v>494</v>
      </c>
      <c r="B514" s="130">
        <f t="shared" si="25"/>
        <v>0</v>
      </c>
      <c r="G514" s="130" t="str">
        <f t="shared" si="23"/>
        <v>L514</v>
      </c>
      <c r="H514" s="140"/>
    </row>
    <row r="515" spans="1:8" x14ac:dyDescent="0.2">
      <c r="A515" s="128">
        <v>495</v>
      </c>
      <c r="B515" s="130">
        <f t="shared" si="25"/>
        <v>0</v>
      </c>
      <c r="G515" s="130" t="str">
        <f t="shared" si="23"/>
        <v>L515</v>
      </c>
      <c r="H515" s="140"/>
    </row>
    <row r="516" spans="1:8" x14ac:dyDescent="0.2">
      <c r="A516" s="128">
        <v>496</v>
      </c>
      <c r="B516" s="130">
        <f t="shared" si="25"/>
        <v>0</v>
      </c>
      <c r="G516" s="130" t="str">
        <f t="shared" si="23"/>
        <v>L516</v>
      </c>
      <c r="H516" s="140"/>
    </row>
    <row r="517" spans="1:8" x14ac:dyDescent="0.2">
      <c r="A517" s="128">
        <v>497</v>
      </c>
      <c r="B517" s="130">
        <f t="shared" si="25"/>
        <v>0</v>
      </c>
      <c r="G517" s="130" t="str">
        <f t="shared" si="23"/>
        <v>L517</v>
      </c>
      <c r="H517" s="140"/>
    </row>
    <row r="518" spans="1:8" x14ac:dyDescent="0.2">
      <c r="A518" s="128">
        <v>498</v>
      </c>
      <c r="B518" s="130">
        <f t="shared" si="25"/>
        <v>0</v>
      </c>
      <c r="G518" s="130" t="str">
        <f t="shared" si="23"/>
        <v>L518</v>
      </c>
      <c r="H518" s="140"/>
    </row>
    <row r="519" spans="1:8" x14ac:dyDescent="0.2">
      <c r="A519" s="128">
        <v>499</v>
      </c>
      <c r="B519" s="130">
        <f t="shared" si="25"/>
        <v>0</v>
      </c>
      <c r="G519" s="130" t="str">
        <f t="shared" si="23"/>
        <v>L519</v>
      </c>
      <c r="H519" s="140"/>
    </row>
    <row r="520" spans="1:8" x14ac:dyDescent="0.2">
      <c r="A520" s="128">
        <v>500</v>
      </c>
      <c r="B520" s="130">
        <f t="shared" si="25"/>
        <v>0</v>
      </c>
      <c r="C520" s="56"/>
      <c r="G520" s="130" t="str">
        <f t="shared" si="23"/>
        <v>L520</v>
      </c>
      <c r="H520" s="140"/>
    </row>
    <row r="521" spans="1:8" x14ac:dyDescent="0.2">
      <c r="A521" s="128">
        <v>501</v>
      </c>
      <c r="B521" s="130">
        <f t="shared" si="25"/>
        <v>0</v>
      </c>
      <c r="G521" s="130" t="str">
        <f t="shared" si="23"/>
        <v>L521</v>
      </c>
      <c r="H521" s="140"/>
    </row>
    <row r="522" spans="1:8" x14ac:dyDescent="0.2">
      <c r="A522" s="128">
        <v>502</v>
      </c>
      <c r="B522" s="130">
        <f t="shared" si="25"/>
        <v>0</v>
      </c>
      <c r="G522" s="130" t="str">
        <f t="shared" si="23"/>
        <v>L522</v>
      </c>
      <c r="H522" s="140"/>
    </row>
    <row r="523" spans="1:8" x14ac:dyDescent="0.2">
      <c r="A523" s="128">
        <v>503</v>
      </c>
      <c r="B523" s="123">
        <f t="shared" si="25"/>
        <v>0</v>
      </c>
      <c r="C523" s="56"/>
      <c r="G523" s="130" t="str">
        <f t="shared" si="23"/>
        <v>L523</v>
      </c>
    </row>
    <row r="524" spans="1:8" x14ac:dyDescent="0.2">
      <c r="A524" s="128">
        <v>504</v>
      </c>
      <c r="B524" s="123">
        <f t="shared" si="25"/>
        <v>0</v>
      </c>
      <c r="G524" s="130" t="str">
        <f t="shared" si="23"/>
        <v>L524</v>
      </c>
    </row>
    <row r="525" spans="1:8" x14ac:dyDescent="0.2">
      <c r="A525" s="128">
        <v>505</v>
      </c>
      <c r="B525" s="123">
        <f t="shared" si="25"/>
        <v>0</v>
      </c>
      <c r="G525" s="130" t="str">
        <f t="shared" si="23"/>
        <v>L525</v>
      </c>
    </row>
    <row r="526" spans="1:8" x14ac:dyDescent="0.2">
      <c r="A526" s="128">
        <v>506</v>
      </c>
      <c r="B526" s="123">
        <f t="shared" si="25"/>
        <v>0</v>
      </c>
      <c r="C526" s="56"/>
      <c r="G526" s="130" t="str">
        <f t="shared" si="23"/>
        <v>L526</v>
      </c>
    </row>
    <row r="527" spans="1:8" x14ac:dyDescent="0.2">
      <c r="A527" s="128">
        <v>507</v>
      </c>
      <c r="B527" s="123">
        <f t="shared" si="25"/>
        <v>0</v>
      </c>
      <c r="C527" s="56"/>
      <c r="G527" s="130" t="str">
        <f t="shared" si="23"/>
        <v>L527</v>
      </c>
    </row>
    <row r="528" spans="1:8" x14ac:dyDescent="0.2">
      <c r="A528" s="128">
        <v>508</v>
      </c>
      <c r="B528" s="123">
        <f t="shared" si="25"/>
        <v>0</v>
      </c>
      <c r="G528" s="130" t="str">
        <f t="shared" si="23"/>
        <v>L528</v>
      </c>
    </row>
    <row r="529" spans="1:7" x14ac:dyDescent="0.2">
      <c r="A529" s="128">
        <v>509</v>
      </c>
      <c r="B529" s="123">
        <f t="shared" si="25"/>
        <v>0</v>
      </c>
      <c r="G529" s="130" t="str">
        <f t="shared" si="23"/>
        <v>L529</v>
      </c>
    </row>
    <row r="530" spans="1:7" x14ac:dyDescent="0.2">
      <c r="A530" s="128">
        <v>510</v>
      </c>
      <c r="B530" s="123">
        <f t="shared" si="25"/>
        <v>0</v>
      </c>
      <c r="C530" s="56"/>
      <c r="G530" s="130" t="str">
        <f t="shared" si="23"/>
        <v>L530</v>
      </c>
    </row>
    <row r="531" spans="1:7" x14ac:dyDescent="0.2">
      <c r="A531" s="128">
        <v>511</v>
      </c>
      <c r="B531" s="123">
        <f t="shared" si="25"/>
        <v>0</v>
      </c>
      <c r="C531" s="56"/>
      <c r="G531" s="130" t="str">
        <f t="shared" si="23"/>
        <v>L531</v>
      </c>
    </row>
    <row r="532" spans="1:7" x14ac:dyDescent="0.2">
      <c r="A532" s="128">
        <v>512</v>
      </c>
      <c r="B532" s="123">
        <f t="shared" si="25"/>
        <v>0</v>
      </c>
      <c r="G532" s="130" t="str">
        <f t="shared" si="23"/>
        <v>L532</v>
      </c>
    </row>
    <row r="533" spans="1:7" x14ac:dyDescent="0.2">
      <c r="A533" s="128">
        <v>513</v>
      </c>
      <c r="B533" s="123">
        <f t="shared" si="25"/>
        <v>0</v>
      </c>
      <c r="G533" s="130" t="str">
        <f t="shared" si="23"/>
        <v>L533</v>
      </c>
    </row>
    <row r="534" spans="1:7" x14ac:dyDescent="0.2">
      <c r="A534" s="128">
        <v>514</v>
      </c>
      <c r="B534" s="123">
        <f t="shared" si="25"/>
        <v>0</v>
      </c>
      <c r="C534" s="56"/>
      <c r="G534" s="130" t="str">
        <f t="shared" si="23"/>
        <v>L534</v>
      </c>
    </row>
    <row r="535" spans="1:7" x14ac:dyDescent="0.2">
      <c r="A535" s="128">
        <v>515</v>
      </c>
      <c r="B535" s="123">
        <f t="shared" si="25"/>
        <v>0</v>
      </c>
      <c r="G535" s="130" t="str">
        <f t="shared" si="23"/>
        <v>L535</v>
      </c>
    </row>
    <row r="536" spans="1:7" x14ac:dyDescent="0.2">
      <c r="A536" s="128">
        <v>516</v>
      </c>
      <c r="B536" s="123">
        <f t="shared" si="25"/>
        <v>0</v>
      </c>
      <c r="C536" s="56"/>
      <c r="G536" s="130" t="str">
        <f t="shared" si="23"/>
        <v>L536</v>
      </c>
    </row>
    <row r="537" spans="1:7" x14ac:dyDescent="0.2">
      <c r="A537" s="128">
        <v>517</v>
      </c>
      <c r="B537" s="123">
        <f t="shared" si="25"/>
        <v>0</v>
      </c>
      <c r="C537" s="555"/>
      <c r="E537" s="554"/>
      <c r="G537" s="130" t="str">
        <f t="shared" ref="G537:G600" si="26">"L"&amp;ROW()</f>
        <v>L537</v>
      </c>
    </row>
    <row r="538" spans="1:7" x14ac:dyDescent="0.2">
      <c r="A538" s="128">
        <v>518</v>
      </c>
      <c r="B538" s="123">
        <f t="shared" si="25"/>
        <v>0</v>
      </c>
      <c r="G538" s="130" t="str">
        <f t="shared" si="26"/>
        <v>L538</v>
      </c>
    </row>
    <row r="539" spans="1:7" x14ac:dyDescent="0.2">
      <c r="A539" s="128">
        <v>519</v>
      </c>
      <c r="B539" s="123">
        <f t="shared" si="25"/>
        <v>0</v>
      </c>
      <c r="G539" s="130" t="str">
        <f t="shared" si="26"/>
        <v>L539</v>
      </c>
    </row>
    <row r="540" spans="1:7" x14ac:dyDescent="0.2">
      <c r="A540" s="128">
        <v>520</v>
      </c>
      <c r="B540" s="123">
        <f t="shared" si="25"/>
        <v>0</v>
      </c>
      <c r="C540" s="56"/>
      <c r="G540" s="130" t="str">
        <f t="shared" si="26"/>
        <v>L540</v>
      </c>
    </row>
    <row r="541" spans="1:7" x14ac:dyDescent="0.2">
      <c r="A541" s="128">
        <v>521</v>
      </c>
      <c r="B541" s="123">
        <f t="shared" si="25"/>
        <v>0</v>
      </c>
      <c r="G541" s="130" t="str">
        <f t="shared" si="26"/>
        <v>L541</v>
      </c>
    </row>
    <row r="542" spans="1:7" x14ac:dyDescent="0.2">
      <c r="A542" s="128">
        <v>522</v>
      </c>
      <c r="B542" s="123">
        <f t="shared" si="25"/>
        <v>0</v>
      </c>
      <c r="G542" s="130" t="str">
        <f t="shared" si="26"/>
        <v>L542</v>
      </c>
    </row>
    <row r="543" spans="1:7" x14ac:dyDescent="0.2">
      <c r="A543" s="128">
        <v>523</v>
      </c>
      <c r="B543" s="123">
        <f t="shared" si="25"/>
        <v>0</v>
      </c>
      <c r="G543" s="130" t="str">
        <f t="shared" si="26"/>
        <v>L543</v>
      </c>
    </row>
    <row r="544" spans="1:7" x14ac:dyDescent="0.2">
      <c r="A544" s="128">
        <v>524</v>
      </c>
      <c r="B544" s="123">
        <f t="shared" si="25"/>
        <v>0</v>
      </c>
      <c r="G544" s="130" t="str">
        <f t="shared" si="26"/>
        <v>L544</v>
      </c>
    </row>
    <row r="545" spans="1:7" x14ac:dyDescent="0.2">
      <c r="A545" s="128">
        <v>525</v>
      </c>
      <c r="B545" s="123">
        <f t="shared" si="25"/>
        <v>0</v>
      </c>
      <c r="G545" s="130" t="str">
        <f t="shared" si="26"/>
        <v>L545</v>
      </c>
    </row>
    <row r="546" spans="1:7" x14ac:dyDescent="0.2">
      <c r="A546" s="128">
        <v>526</v>
      </c>
      <c r="B546" s="123">
        <f t="shared" si="25"/>
        <v>0</v>
      </c>
      <c r="G546" s="130" t="str">
        <f t="shared" si="26"/>
        <v>L546</v>
      </c>
    </row>
    <row r="547" spans="1:7" x14ac:dyDescent="0.2">
      <c r="A547" s="128">
        <v>527</v>
      </c>
      <c r="B547" s="123">
        <f t="shared" si="25"/>
        <v>0</v>
      </c>
      <c r="G547" s="130" t="str">
        <f t="shared" si="26"/>
        <v>L547</v>
      </c>
    </row>
    <row r="548" spans="1:7" x14ac:dyDescent="0.2">
      <c r="A548" s="128">
        <v>528</v>
      </c>
      <c r="B548" s="123">
        <f t="shared" si="25"/>
        <v>0</v>
      </c>
      <c r="G548" s="130" t="str">
        <f t="shared" si="26"/>
        <v>L548</v>
      </c>
    </row>
    <row r="549" spans="1:7" x14ac:dyDescent="0.2">
      <c r="A549" s="128">
        <v>529</v>
      </c>
      <c r="B549" s="123">
        <f t="shared" si="25"/>
        <v>0</v>
      </c>
      <c r="G549" s="130" t="str">
        <f t="shared" si="26"/>
        <v>L549</v>
      </c>
    </row>
    <row r="550" spans="1:7" x14ac:dyDescent="0.2">
      <c r="A550" s="128">
        <v>530</v>
      </c>
      <c r="B550" s="123">
        <f t="shared" si="25"/>
        <v>0</v>
      </c>
      <c r="G550" s="130" t="str">
        <f t="shared" si="26"/>
        <v>L550</v>
      </c>
    </row>
    <row r="551" spans="1:7" x14ac:dyDescent="0.2">
      <c r="A551" s="128">
        <v>531</v>
      </c>
      <c r="B551" s="123">
        <f t="shared" si="25"/>
        <v>0</v>
      </c>
      <c r="G551" s="130" t="str">
        <f t="shared" si="26"/>
        <v>L551</v>
      </c>
    </row>
    <row r="552" spans="1:7" x14ac:dyDescent="0.2">
      <c r="A552" s="128">
        <v>532</v>
      </c>
      <c r="B552" s="123">
        <f t="shared" si="25"/>
        <v>0</v>
      </c>
      <c r="G552" s="130" t="str">
        <f t="shared" si="26"/>
        <v>L552</v>
      </c>
    </row>
    <row r="553" spans="1:7" x14ac:dyDescent="0.2">
      <c r="A553" s="128">
        <v>533</v>
      </c>
      <c r="B553" s="123">
        <f t="shared" si="25"/>
        <v>0</v>
      </c>
      <c r="G553" s="130" t="str">
        <f t="shared" si="26"/>
        <v>L553</v>
      </c>
    </row>
    <row r="554" spans="1:7" x14ac:dyDescent="0.2">
      <c r="A554" s="128">
        <v>534</v>
      </c>
      <c r="B554" s="123">
        <f t="shared" si="25"/>
        <v>0</v>
      </c>
      <c r="G554" s="130" t="str">
        <f t="shared" si="26"/>
        <v>L554</v>
      </c>
    </row>
    <row r="555" spans="1:7" x14ac:dyDescent="0.2">
      <c r="A555" s="128">
        <v>535</v>
      </c>
      <c r="B555" s="123">
        <f t="shared" si="25"/>
        <v>0</v>
      </c>
      <c r="G555" s="130" t="str">
        <f t="shared" si="26"/>
        <v>L555</v>
      </c>
    </row>
    <row r="556" spans="1:7" x14ac:dyDescent="0.2">
      <c r="A556" s="128">
        <v>536</v>
      </c>
      <c r="B556" s="123">
        <f t="shared" si="25"/>
        <v>0</v>
      </c>
      <c r="G556" s="130" t="str">
        <f t="shared" si="26"/>
        <v>L556</v>
      </c>
    </row>
    <row r="557" spans="1:7" x14ac:dyDescent="0.2">
      <c r="A557" s="128">
        <v>537</v>
      </c>
      <c r="B557" s="123">
        <f t="shared" si="25"/>
        <v>0</v>
      </c>
      <c r="G557" s="130" t="str">
        <f t="shared" si="26"/>
        <v>L557</v>
      </c>
    </row>
    <row r="558" spans="1:7" x14ac:dyDescent="0.2">
      <c r="A558" s="128">
        <v>538</v>
      </c>
      <c r="B558" s="123">
        <f t="shared" si="25"/>
        <v>0</v>
      </c>
      <c r="G558" s="130" t="str">
        <f t="shared" si="26"/>
        <v>L558</v>
      </c>
    </row>
    <row r="559" spans="1:7" x14ac:dyDescent="0.2">
      <c r="A559" s="128">
        <v>539</v>
      </c>
      <c r="B559" s="123">
        <f t="shared" si="25"/>
        <v>0</v>
      </c>
      <c r="G559" s="130" t="str">
        <f t="shared" si="26"/>
        <v>L559</v>
      </c>
    </row>
    <row r="560" spans="1:7" x14ac:dyDescent="0.2">
      <c r="A560" s="128">
        <v>540</v>
      </c>
      <c r="B560" s="123">
        <f t="shared" si="25"/>
        <v>0</v>
      </c>
      <c r="G560" s="130" t="str">
        <f t="shared" si="26"/>
        <v>L560</v>
      </c>
    </row>
    <row r="561" spans="1:7" x14ac:dyDescent="0.2">
      <c r="A561" s="128">
        <v>541</v>
      </c>
      <c r="B561" s="123">
        <f t="shared" si="25"/>
        <v>0</v>
      </c>
      <c r="G561" s="130" t="str">
        <f t="shared" si="26"/>
        <v>L561</v>
      </c>
    </row>
    <row r="562" spans="1:7" x14ac:dyDescent="0.2">
      <c r="A562" s="128">
        <v>542</v>
      </c>
      <c r="B562" s="123">
        <f t="shared" si="25"/>
        <v>0</v>
      </c>
      <c r="G562" s="130" t="str">
        <f t="shared" si="26"/>
        <v>L562</v>
      </c>
    </row>
    <row r="563" spans="1:7" x14ac:dyDescent="0.2">
      <c r="A563" s="128">
        <v>543</v>
      </c>
      <c r="B563" s="123">
        <f t="shared" si="25"/>
        <v>0</v>
      </c>
      <c r="G563" s="130" t="str">
        <f t="shared" si="26"/>
        <v>L563</v>
      </c>
    </row>
    <row r="564" spans="1:7" x14ac:dyDescent="0.2">
      <c r="A564" s="128">
        <v>544</v>
      </c>
      <c r="B564" s="123">
        <f t="shared" si="25"/>
        <v>0</v>
      </c>
      <c r="G564" s="130" t="str">
        <f t="shared" si="26"/>
        <v>L564</v>
      </c>
    </row>
    <row r="565" spans="1:7" x14ac:dyDescent="0.2">
      <c r="A565" s="128">
        <v>545</v>
      </c>
      <c r="B565" s="123">
        <f t="shared" ref="B565:B628" si="27">HLOOKUP($B$13,$C$21:$G$820,A565,FALSE)</f>
        <v>0</v>
      </c>
      <c r="G565" s="130" t="str">
        <f t="shared" si="26"/>
        <v>L565</v>
      </c>
    </row>
    <row r="566" spans="1:7" x14ac:dyDescent="0.2">
      <c r="A566" s="128">
        <v>546</v>
      </c>
      <c r="B566" s="123">
        <f t="shared" si="27"/>
        <v>0</v>
      </c>
      <c r="G566" s="130" t="str">
        <f t="shared" si="26"/>
        <v>L566</v>
      </c>
    </row>
    <row r="567" spans="1:7" x14ac:dyDescent="0.2">
      <c r="A567" s="128">
        <v>547</v>
      </c>
      <c r="B567" s="123">
        <f t="shared" si="27"/>
        <v>0</v>
      </c>
      <c r="G567" s="130" t="str">
        <f t="shared" si="26"/>
        <v>L567</v>
      </c>
    </row>
    <row r="568" spans="1:7" x14ac:dyDescent="0.2">
      <c r="A568" s="128">
        <v>548</v>
      </c>
      <c r="B568" s="123">
        <f t="shared" si="27"/>
        <v>0</v>
      </c>
      <c r="G568" s="130" t="str">
        <f t="shared" si="26"/>
        <v>L568</v>
      </c>
    </row>
    <row r="569" spans="1:7" x14ac:dyDescent="0.2">
      <c r="A569" s="128">
        <v>549</v>
      </c>
      <c r="B569" s="123">
        <f t="shared" si="27"/>
        <v>0</v>
      </c>
      <c r="G569" s="130" t="str">
        <f t="shared" si="26"/>
        <v>L569</v>
      </c>
    </row>
    <row r="570" spans="1:7" x14ac:dyDescent="0.2">
      <c r="A570" s="128">
        <v>550</v>
      </c>
      <c r="B570" s="123">
        <f t="shared" si="27"/>
        <v>0</v>
      </c>
      <c r="G570" s="130" t="str">
        <f t="shared" si="26"/>
        <v>L570</v>
      </c>
    </row>
    <row r="571" spans="1:7" x14ac:dyDescent="0.2">
      <c r="A571" s="128">
        <v>551</v>
      </c>
      <c r="B571" s="123">
        <f t="shared" si="27"/>
        <v>0</v>
      </c>
      <c r="G571" s="130" t="str">
        <f t="shared" si="26"/>
        <v>L571</v>
      </c>
    </row>
    <row r="572" spans="1:7" x14ac:dyDescent="0.2">
      <c r="A572" s="128">
        <v>552</v>
      </c>
      <c r="B572" s="123">
        <f t="shared" si="27"/>
        <v>0</v>
      </c>
      <c r="G572" s="130" t="str">
        <f t="shared" si="26"/>
        <v>L572</v>
      </c>
    </row>
    <row r="573" spans="1:7" x14ac:dyDescent="0.2">
      <c r="A573" s="128">
        <v>553</v>
      </c>
      <c r="B573" s="123">
        <f t="shared" si="27"/>
        <v>0</v>
      </c>
      <c r="G573" s="130" t="str">
        <f t="shared" si="26"/>
        <v>L573</v>
      </c>
    </row>
    <row r="574" spans="1:7" x14ac:dyDescent="0.2">
      <c r="A574" s="128">
        <v>554</v>
      </c>
      <c r="B574" s="123">
        <f t="shared" si="27"/>
        <v>0</v>
      </c>
      <c r="G574" s="130" t="str">
        <f t="shared" si="26"/>
        <v>L574</v>
      </c>
    </row>
    <row r="575" spans="1:7" x14ac:dyDescent="0.2">
      <c r="A575" s="128">
        <v>555</v>
      </c>
      <c r="B575" s="123">
        <f t="shared" si="27"/>
        <v>0</v>
      </c>
      <c r="G575" s="130" t="str">
        <f t="shared" si="26"/>
        <v>L575</v>
      </c>
    </row>
    <row r="576" spans="1:7" x14ac:dyDescent="0.2">
      <c r="A576" s="128">
        <v>556</v>
      </c>
      <c r="B576" s="123">
        <f t="shared" si="27"/>
        <v>0</v>
      </c>
      <c r="G576" s="130" t="str">
        <f t="shared" si="26"/>
        <v>L576</v>
      </c>
    </row>
    <row r="577" spans="1:7" x14ac:dyDescent="0.2">
      <c r="A577" s="128">
        <v>557</v>
      </c>
      <c r="B577" s="123">
        <f t="shared" si="27"/>
        <v>0</v>
      </c>
      <c r="G577" s="130" t="str">
        <f t="shared" si="26"/>
        <v>L577</v>
      </c>
    </row>
    <row r="578" spans="1:7" x14ac:dyDescent="0.2">
      <c r="A578" s="128">
        <v>558</v>
      </c>
      <c r="B578" s="123">
        <f t="shared" si="27"/>
        <v>0</v>
      </c>
      <c r="G578" s="130" t="str">
        <f t="shared" si="26"/>
        <v>L578</v>
      </c>
    </row>
    <row r="579" spans="1:7" x14ac:dyDescent="0.2">
      <c r="A579" s="128">
        <v>559</v>
      </c>
      <c r="B579" s="123">
        <f t="shared" si="27"/>
        <v>0</v>
      </c>
      <c r="G579" s="130" t="str">
        <f t="shared" si="26"/>
        <v>L579</v>
      </c>
    </row>
    <row r="580" spans="1:7" x14ac:dyDescent="0.2">
      <c r="A580" s="128">
        <v>560</v>
      </c>
      <c r="B580" s="123">
        <f t="shared" si="27"/>
        <v>0</v>
      </c>
      <c r="G580" s="130" t="str">
        <f t="shared" si="26"/>
        <v>L580</v>
      </c>
    </row>
    <row r="581" spans="1:7" x14ac:dyDescent="0.2">
      <c r="A581" s="128">
        <v>561</v>
      </c>
      <c r="B581" s="123">
        <f t="shared" si="27"/>
        <v>0</v>
      </c>
      <c r="G581" s="130" t="str">
        <f t="shared" si="26"/>
        <v>L581</v>
      </c>
    </row>
    <row r="582" spans="1:7" x14ac:dyDescent="0.2">
      <c r="A582" s="128">
        <v>562</v>
      </c>
      <c r="B582" s="123">
        <f t="shared" si="27"/>
        <v>0</v>
      </c>
      <c r="G582" s="130" t="str">
        <f t="shared" si="26"/>
        <v>L582</v>
      </c>
    </row>
    <row r="583" spans="1:7" x14ac:dyDescent="0.2">
      <c r="A583" s="128">
        <v>563</v>
      </c>
      <c r="B583" s="123">
        <f t="shared" si="27"/>
        <v>0</v>
      </c>
      <c r="G583" s="130" t="str">
        <f t="shared" si="26"/>
        <v>L583</v>
      </c>
    </row>
    <row r="584" spans="1:7" x14ac:dyDescent="0.2">
      <c r="A584" s="128">
        <v>564</v>
      </c>
      <c r="B584" s="123">
        <f t="shared" si="27"/>
        <v>0</v>
      </c>
      <c r="G584" s="130" t="str">
        <f t="shared" si="26"/>
        <v>L584</v>
      </c>
    </row>
    <row r="585" spans="1:7" x14ac:dyDescent="0.2">
      <c r="A585" s="128">
        <v>565</v>
      </c>
      <c r="B585" s="123">
        <f t="shared" si="27"/>
        <v>0</v>
      </c>
      <c r="G585" s="130" t="str">
        <f t="shared" si="26"/>
        <v>L585</v>
      </c>
    </row>
    <row r="586" spans="1:7" x14ac:dyDescent="0.2">
      <c r="A586" s="128">
        <v>566</v>
      </c>
      <c r="B586" s="123">
        <f t="shared" si="27"/>
        <v>0</v>
      </c>
      <c r="G586" s="130" t="str">
        <f t="shared" si="26"/>
        <v>L586</v>
      </c>
    </row>
    <row r="587" spans="1:7" x14ac:dyDescent="0.2">
      <c r="A587" s="128">
        <v>567</v>
      </c>
      <c r="B587" s="123">
        <f t="shared" si="27"/>
        <v>0</v>
      </c>
      <c r="G587" s="131" t="str">
        <f t="shared" si="26"/>
        <v>L587</v>
      </c>
    </row>
    <row r="588" spans="1:7" x14ac:dyDescent="0.2">
      <c r="A588" s="128">
        <v>568</v>
      </c>
      <c r="B588" s="123">
        <f t="shared" si="27"/>
        <v>0</v>
      </c>
      <c r="G588" s="130" t="str">
        <f t="shared" si="26"/>
        <v>L588</v>
      </c>
    </row>
    <row r="589" spans="1:7" x14ac:dyDescent="0.2">
      <c r="A589" s="128">
        <v>569</v>
      </c>
      <c r="B589" s="123">
        <f t="shared" si="27"/>
        <v>0</v>
      </c>
      <c r="G589" s="123" t="str">
        <f t="shared" si="26"/>
        <v>L589</v>
      </c>
    </row>
    <row r="590" spans="1:7" x14ac:dyDescent="0.2">
      <c r="A590" s="128">
        <v>570</v>
      </c>
      <c r="B590" s="123">
        <f t="shared" si="27"/>
        <v>0</v>
      </c>
      <c r="G590" s="130" t="str">
        <f t="shared" si="26"/>
        <v>L590</v>
      </c>
    </row>
    <row r="591" spans="1:7" x14ac:dyDescent="0.2">
      <c r="A591" s="128">
        <v>571</v>
      </c>
      <c r="B591" s="123">
        <f t="shared" si="27"/>
        <v>0</v>
      </c>
      <c r="G591" s="130" t="str">
        <f t="shared" si="26"/>
        <v>L591</v>
      </c>
    </row>
    <row r="592" spans="1:7" x14ac:dyDescent="0.2">
      <c r="A592" s="128">
        <v>572</v>
      </c>
      <c r="B592" s="123">
        <f t="shared" si="27"/>
        <v>0</v>
      </c>
      <c r="G592" s="130" t="str">
        <f t="shared" si="26"/>
        <v>L592</v>
      </c>
    </row>
    <row r="593" spans="1:7" x14ac:dyDescent="0.2">
      <c r="A593" s="128">
        <v>573</v>
      </c>
      <c r="B593" s="123">
        <f t="shared" si="27"/>
        <v>0</v>
      </c>
      <c r="G593" s="130" t="str">
        <f t="shared" si="26"/>
        <v>L593</v>
      </c>
    </row>
    <row r="594" spans="1:7" x14ac:dyDescent="0.2">
      <c r="A594" s="128">
        <v>574</v>
      </c>
      <c r="B594" s="123">
        <f t="shared" si="27"/>
        <v>0</v>
      </c>
      <c r="G594" s="130" t="str">
        <f t="shared" si="26"/>
        <v>L594</v>
      </c>
    </row>
    <row r="595" spans="1:7" x14ac:dyDescent="0.2">
      <c r="A595" s="128">
        <v>575</v>
      </c>
      <c r="B595" s="123">
        <f t="shared" si="27"/>
        <v>0</v>
      </c>
      <c r="G595" s="130" t="str">
        <f t="shared" si="26"/>
        <v>L595</v>
      </c>
    </row>
    <row r="596" spans="1:7" x14ac:dyDescent="0.2">
      <c r="A596" s="128">
        <v>576</v>
      </c>
      <c r="B596" s="123">
        <f t="shared" si="27"/>
        <v>0</v>
      </c>
      <c r="G596" s="130" t="str">
        <f t="shared" si="26"/>
        <v>L596</v>
      </c>
    </row>
    <row r="597" spans="1:7" x14ac:dyDescent="0.2">
      <c r="A597" s="128">
        <v>577</v>
      </c>
      <c r="B597" s="123">
        <f t="shared" si="27"/>
        <v>0</v>
      </c>
      <c r="G597" s="130" t="str">
        <f t="shared" si="26"/>
        <v>L597</v>
      </c>
    </row>
    <row r="598" spans="1:7" x14ac:dyDescent="0.2">
      <c r="A598" s="128">
        <v>578</v>
      </c>
      <c r="B598" s="123">
        <f t="shared" si="27"/>
        <v>0</v>
      </c>
      <c r="G598" s="130" t="str">
        <f t="shared" si="26"/>
        <v>L598</v>
      </c>
    </row>
    <row r="599" spans="1:7" x14ac:dyDescent="0.2">
      <c r="A599" s="128">
        <v>579</v>
      </c>
      <c r="B599" s="123">
        <f t="shared" si="27"/>
        <v>0</v>
      </c>
      <c r="G599" s="130" t="str">
        <f t="shared" si="26"/>
        <v>L599</v>
      </c>
    </row>
    <row r="600" spans="1:7" x14ac:dyDescent="0.2">
      <c r="A600" s="128">
        <v>580</v>
      </c>
      <c r="B600" s="123">
        <f t="shared" si="27"/>
        <v>0</v>
      </c>
      <c r="G600" s="130" t="str">
        <f t="shared" si="26"/>
        <v>L600</v>
      </c>
    </row>
    <row r="601" spans="1:7" x14ac:dyDescent="0.2">
      <c r="A601" s="128">
        <v>581</v>
      </c>
      <c r="B601" s="123">
        <f t="shared" si="27"/>
        <v>0</v>
      </c>
      <c r="G601" s="130" t="str">
        <f t="shared" ref="G601:G664" si="28">"L"&amp;ROW()</f>
        <v>L601</v>
      </c>
    </row>
    <row r="602" spans="1:7" x14ac:dyDescent="0.2">
      <c r="A602" s="128">
        <v>582</v>
      </c>
      <c r="B602" s="123">
        <f t="shared" si="27"/>
        <v>0</v>
      </c>
      <c r="G602" s="130" t="str">
        <f t="shared" si="28"/>
        <v>L602</v>
      </c>
    </row>
    <row r="603" spans="1:7" x14ac:dyDescent="0.2">
      <c r="A603" s="128">
        <v>583</v>
      </c>
      <c r="B603" s="123">
        <f t="shared" si="27"/>
        <v>0</v>
      </c>
      <c r="G603" s="130" t="str">
        <f t="shared" si="28"/>
        <v>L603</v>
      </c>
    </row>
    <row r="604" spans="1:7" x14ac:dyDescent="0.2">
      <c r="A604" s="128">
        <v>584</v>
      </c>
      <c r="B604" s="123">
        <f t="shared" si="27"/>
        <v>0</v>
      </c>
      <c r="G604" s="130" t="str">
        <f t="shared" si="28"/>
        <v>L604</v>
      </c>
    </row>
    <row r="605" spans="1:7" x14ac:dyDescent="0.2">
      <c r="A605" s="128">
        <v>585</v>
      </c>
      <c r="B605" s="123">
        <f t="shared" si="27"/>
        <v>0</v>
      </c>
      <c r="G605" s="130" t="str">
        <f t="shared" si="28"/>
        <v>L605</v>
      </c>
    </row>
    <row r="606" spans="1:7" x14ac:dyDescent="0.2">
      <c r="A606" s="128">
        <v>586</v>
      </c>
      <c r="B606" s="123">
        <f t="shared" si="27"/>
        <v>0</v>
      </c>
      <c r="G606" s="130" t="str">
        <f t="shared" si="28"/>
        <v>L606</v>
      </c>
    </row>
    <row r="607" spans="1:7" x14ac:dyDescent="0.2">
      <c r="A607" s="128">
        <v>587</v>
      </c>
      <c r="B607" s="123">
        <f t="shared" si="27"/>
        <v>0</v>
      </c>
      <c r="G607" s="130" t="str">
        <f t="shared" si="28"/>
        <v>L607</v>
      </c>
    </row>
    <row r="608" spans="1:7" x14ac:dyDescent="0.2">
      <c r="A608" s="128">
        <v>588</v>
      </c>
      <c r="B608" s="123">
        <f t="shared" si="27"/>
        <v>0</v>
      </c>
      <c r="G608" s="130" t="str">
        <f t="shared" si="28"/>
        <v>L608</v>
      </c>
    </row>
    <row r="609" spans="1:7" x14ac:dyDescent="0.2">
      <c r="A609" s="128">
        <v>589</v>
      </c>
      <c r="B609" s="123">
        <f t="shared" si="27"/>
        <v>0</v>
      </c>
      <c r="G609" s="130" t="str">
        <f t="shared" si="28"/>
        <v>L609</v>
      </c>
    </row>
    <row r="610" spans="1:7" x14ac:dyDescent="0.2">
      <c r="A610" s="128">
        <v>590</v>
      </c>
      <c r="B610" s="123">
        <f t="shared" si="27"/>
        <v>0</v>
      </c>
      <c r="G610" s="130" t="str">
        <f t="shared" si="28"/>
        <v>L610</v>
      </c>
    </row>
    <row r="611" spans="1:7" x14ac:dyDescent="0.2">
      <c r="A611" s="128">
        <v>591</v>
      </c>
      <c r="B611" s="123">
        <f t="shared" si="27"/>
        <v>0</v>
      </c>
      <c r="G611" s="123" t="str">
        <f t="shared" si="28"/>
        <v>L611</v>
      </c>
    </row>
    <row r="612" spans="1:7" x14ac:dyDescent="0.2">
      <c r="A612" s="128">
        <v>592</v>
      </c>
      <c r="B612" s="123">
        <f t="shared" si="27"/>
        <v>0</v>
      </c>
      <c r="G612" s="123" t="str">
        <f t="shared" si="28"/>
        <v>L612</v>
      </c>
    </row>
    <row r="613" spans="1:7" x14ac:dyDescent="0.2">
      <c r="A613" s="128">
        <v>593</v>
      </c>
      <c r="B613" s="123">
        <f t="shared" si="27"/>
        <v>0</v>
      </c>
      <c r="G613" s="123" t="str">
        <f t="shared" si="28"/>
        <v>L613</v>
      </c>
    </row>
    <row r="614" spans="1:7" x14ac:dyDescent="0.2">
      <c r="A614" s="128">
        <v>594</v>
      </c>
      <c r="B614" s="123">
        <f t="shared" si="27"/>
        <v>0</v>
      </c>
      <c r="G614" s="123" t="str">
        <f t="shared" si="28"/>
        <v>L614</v>
      </c>
    </row>
    <row r="615" spans="1:7" x14ac:dyDescent="0.2">
      <c r="A615" s="128">
        <v>595</v>
      </c>
      <c r="B615" s="123">
        <f t="shared" si="27"/>
        <v>0</v>
      </c>
      <c r="G615" s="123" t="str">
        <f t="shared" si="28"/>
        <v>L615</v>
      </c>
    </row>
    <row r="616" spans="1:7" x14ac:dyDescent="0.2">
      <c r="A616" s="128">
        <v>596</v>
      </c>
      <c r="B616" s="123">
        <f t="shared" si="27"/>
        <v>0</v>
      </c>
      <c r="G616" s="123" t="str">
        <f t="shared" si="28"/>
        <v>L616</v>
      </c>
    </row>
    <row r="617" spans="1:7" x14ac:dyDescent="0.2">
      <c r="A617" s="128">
        <v>597</v>
      </c>
      <c r="B617" s="123">
        <f t="shared" si="27"/>
        <v>0</v>
      </c>
      <c r="G617" s="123" t="str">
        <f t="shared" si="28"/>
        <v>L617</v>
      </c>
    </row>
    <row r="618" spans="1:7" x14ac:dyDescent="0.2">
      <c r="A618" s="128">
        <v>598</v>
      </c>
      <c r="B618" s="123">
        <f t="shared" si="27"/>
        <v>0</v>
      </c>
      <c r="G618" s="123" t="str">
        <f t="shared" si="28"/>
        <v>L618</v>
      </c>
    </row>
    <row r="619" spans="1:7" x14ac:dyDescent="0.2">
      <c r="A619" s="128">
        <v>599</v>
      </c>
      <c r="B619" s="123">
        <f t="shared" si="27"/>
        <v>0</v>
      </c>
      <c r="G619" s="123" t="str">
        <f t="shared" si="28"/>
        <v>L619</v>
      </c>
    </row>
    <row r="620" spans="1:7" x14ac:dyDescent="0.2">
      <c r="A620" s="128">
        <v>600</v>
      </c>
      <c r="B620" s="123">
        <f t="shared" si="27"/>
        <v>0</v>
      </c>
      <c r="G620" s="123" t="str">
        <f t="shared" si="28"/>
        <v>L620</v>
      </c>
    </row>
    <row r="621" spans="1:7" x14ac:dyDescent="0.2">
      <c r="A621" s="128">
        <v>601</v>
      </c>
      <c r="B621" s="123">
        <f t="shared" si="27"/>
        <v>0</v>
      </c>
      <c r="G621" s="123" t="str">
        <f t="shared" si="28"/>
        <v>L621</v>
      </c>
    </row>
    <row r="622" spans="1:7" x14ac:dyDescent="0.2">
      <c r="A622" s="128">
        <v>602</v>
      </c>
      <c r="B622" s="123">
        <f t="shared" si="27"/>
        <v>0</v>
      </c>
      <c r="G622" s="123" t="str">
        <f t="shared" si="28"/>
        <v>L622</v>
      </c>
    </row>
    <row r="623" spans="1:7" x14ac:dyDescent="0.2">
      <c r="A623" s="128">
        <v>603</v>
      </c>
      <c r="B623" s="123">
        <f t="shared" si="27"/>
        <v>0</v>
      </c>
      <c r="G623" s="123" t="str">
        <f t="shared" si="28"/>
        <v>L623</v>
      </c>
    </row>
    <row r="624" spans="1:7" x14ac:dyDescent="0.2">
      <c r="A624" s="128">
        <v>604</v>
      </c>
      <c r="B624" s="123">
        <f t="shared" si="27"/>
        <v>0</v>
      </c>
      <c r="G624" s="123" t="str">
        <f t="shared" si="28"/>
        <v>L624</v>
      </c>
    </row>
    <row r="625" spans="1:7" x14ac:dyDescent="0.2">
      <c r="A625" s="128">
        <v>605</v>
      </c>
      <c r="B625" s="123">
        <f t="shared" si="27"/>
        <v>0</v>
      </c>
      <c r="G625" s="123" t="str">
        <f t="shared" si="28"/>
        <v>L625</v>
      </c>
    </row>
    <row r="626" spans="1:7" x14ac:dyDescent="0.2">
      <c r="A626" s="128">
        <v>606</v>
      </c>
      <c r="B626" s="123">
        <f t="shared" si="27"/>
        <v>0</v>
      </c>
      <c r="G626" s="123" t="str">
        <f t="shared" si="28"/>
        <v>L626</v>
      </c>
    </row>
    <row r="627" spans="1:7" x14ac:dyDescent="0.2">
      <c r="A627" s="128">
        <v>607</v>
      </c>
      <c r="B627" s="123">
        <f t="shared" si="27"/>
        <v>0</v>
      </c>
      <c r="G627" s="123" t="str">
        <f t="shared" si="28"/>
        <v>L627</v>
      </c>
    </row>
    <row r="628" spans="1:7" x14ac:dyDescent="0.2">
      <c r="A628" s="128">
        <v>608</v>
      </c>
      <c r="B628" s="123">
        <f t="shared" si="27"/>
        <v>0</v>
      </c>
      <c r="G628" s="123" t="str">
        <f t="shared" si="28"/>
        <v>L628</v>
      </c>
    </row>
    <row r="629" spans="1:7" x14ac:dyDescent="0.2">
      <c r="A629" s="128">
        <v>609</v>
      </c>
      <c r="B629" s="123">
        <f t="shared" ref="B629:B692" si="29">HLOOKUP($B$13,$C$21:$G$820,A629,FALSE)</f>
        <v>0</v>
      </c>
      <c r="G629" s="123" t="str">
        <f t="shared" si="28"/>
        <v>L629</v>
      </c>
    </row>
    <row r="630" spans="1:7" x14ac:dyDescent="0.2">
      <c r="A630" s="128">
        <v>610</v>
      </c>
      <c r="B630" s="123">
        <f t="shared" si="29"/>
        <v>0</v>
      </c>
      <c r="G630" s="123" t="str">
        <f t="shared" si="28"/>
        <v>L630</v>
      </c>
    </row>
    <row r="631" spans="1:7" x14ac:dyDescent="0.2">
      <c r="A631" s="128">
        <v>611</v>
      </c>
      <c r="B631" s="123">
        <f t="shared" si="29"/>
        <v>0</v>
      </c>
      <c r="G631" s="123" t="str">
        <f t="shared" si="28"/>
        <v>L631</v>
      </c>
    </row>
    <row r="632" spans="1:7" x14ac:dyDescent="0.2">
      <c r="A632" s="128">
        <v>612</v>
      </c>
      <c r="B632" s="123">
        <f t="shared" si="29"/>
        <v>0</v>
      </c>
      <c r="G632" s="123" t="str">
        <f t="shared" si="28"/>
        <v>L632</v>
      </c>
    </row>
    <row r="633" spans="1:7" x14ac:dyDescent="0.2">
      <c r="A633" s="128">
        <v>613</v>
      </c>
      <c r="B633" s="123">
        <f t="shared" si="29"/>
        <v>0</v>
      </c>
      <c r="G633" s="123" t="str">
        <f t="shared" si="28"/>
        <v>L633</v>
      </c>
    </row>
    <row r="634" spans="1:7" x14ac:dyDescent="0.2">
      <c r="A634" s="128">
        <v>614</v>
      </c>
      <c r="B634" s="123">
        <f t="shared" si="29"/>
        <v>0</v>
      </c>
      <c r="G634" s="123" t="str">
        <f t="shared" si="28"/>
        <v>L634</v>
      </c>
    </row>
    <row r="635" spans="1:7" x14ac:dyDescent="0.2">
      <c r="A635" s="128">
        <v>615</v>
      </c>
      <c r="B635" s="123">
        <f t="shared" si="29"/>
        <v>0</v>
      </c>
      <c r="G635" s="123" t="str">
        <f t="shared" si="28"/>
        <v>L635</v>
      </c>
    </row>
    <row r="636" spans="1:7" x14ac:dyDescent="0.2">
      <c r="A636" s="128">
        <v>616</v>
      </c>
      <c r="B636" s="123">
        <f t="shared" si="29"/>
        <v>0</v>
      </c>
      <c r="G636" s="123" t="str">
        <f t="shared" si="28"/>
        <v>L636</v>
      </c>
    </row>
    <row r="637" spans="1:7" x14ac:dyDescent="0.2">
      <c r="A637" s="128">
        <v>617</v>
      </c>
      <c r="B637" s="123">
        <f t="shared" si="29"/>
        <v>0</v>
      </c>
      <c r="G637" s="123" t="str">
        <f t="shared" si="28"/>
        <v>L637</v>
      </c>
    </row>
    <row r="638" spans="1:7" x14ac:dyDescent="0.2">
      <c r="A638" s="128">
        <v>618</v>
      </c>
      <c r="B638" s="123">
        <f t="shared" si="29"/>
        <v>0</v>
      </c>
      <c r="G638" s="123" t="str">
        <f t="shared" si="28"/>
        <v>L638</v>
      </c>
    </row>
    <row r="639" spans="1:7" x14ac:dyDescent="0.2">
      <c r="A639" s="128">
        <v>619</v>
      </c>
      <c r="B639" s="123">
        <f t="shared" si="29"/>
        <v>0</v>
      </c>
      <c r="G639" s="123" t="str">
        <f t="shared" si="28"/>
        <v>L639</v>
      </c>
    </row>
    <row r="640" spans="1:7" x14ac:dyDescent="0.2">
      <c r="A640" s="128">
        <v>620</v>
      </c>
      <c r="B640" s="123">
        <f t="shared" si="29"/>
        <v>0</v>
      </c>
      <c r="G640" s="123" t="str">
        <f t="shared" si="28"/>
        <v>L640</v>
      </c>
    </row>
    <row r="641" spans="1:7" x14ac:dyDescent="0.2">
      <c r="A641" s="128">
        <v>621</v>
      </c>
      <c r="B641" s="123">
        <f t="shared" si="29"/>
        <v>0</v>
      </c>
      <c r="G641" s="123" t="str">
        <f t="shared" si="28"/>
        <v>L641</v>
      </c>
    </row>
    <row r="642" spans="1:7" x14ac:dyDescent="0.2">
      <c r="A642" s="128">
        <v>622</v>
      </c>
      <c r="B642" s="123">
        <f t="shared" si="29"/>
        <v>0</v>
      </c>
      <c r="G642" s="123" t="str">
        <f t="shared" si="28"/>
        <v>L642</v>
      </c>
    </row>
    <row r="643" spans="1:7" x14ac:dyDescent="0.2">
      <c r="A643" s="128">
        <v>623</v>
      </c>
      <c r="B643" s="123">
        <f t="shared" si="29"/>
        <v>0</v>
      </c>
      <c r="G643" s="123" t="str">
        <f t="shared" si="28"/>
        <v>L643</v>
      </c>
    </row>
    <row r="644" spans="1:7" x14ac:dyDescent="0.2">
      <c r="A644" s="128">
        <v>624</v>
      </c>
      <c r="B644" s="123">
        <f t="shared" si="29"/>
        <v>0</v>
      </c>
      <c r="G644" s="123" t="str">
        <f t="shared" si="28"/>
        <v>L644</v>
      </c>
    </row>
    <row r="645" spans="1:7" x14ac:dyDescent="0.2">
      <c r="A645" s="128">
        <v>625</v>
      </c>
      <c r="B645" s="123">
        <f t="shared" si="29"/>
        <v>0</v>
      </c>
      <c r="G645" s="123" t="str">
        <f t="shared" si="28"/>
        <v>L645</v>
      </c>
    </row>
    <row r="646" spans="1:7" x14ac:dyDescent="0.2">
      <c r="A646" s="128">
        <v>626</v>
      </c>
      <c r="B646" s="123">
        <f t="shared" si="29"/>
        <v>0</v>
      </c>
      <c r="G646" s="123" t="str">
        <f t="shared" si="28"/>
        <v>L646</v>
      </c>
    </row>
    <row r="647" spans="1:7" x14ac:dyDescent="0.2">
      <c r="A647" s="128">
        <v>627</v>
      </c>
      <c r="B647" s="123">
        <f t="shared" si="29"/>
        <v>0</v>
      </c>
      <c r="G647" s="123" t="str">
        <f t="shared" si="28"/>
        <v>L647</v>
      </c>
    </row>
    <row r="648" spans="1:7" x14ac:dyDescent="0.2">
      <c r="A648" s="128">
        <v>628</v>
      </c>
      <c r="B648" s="123">
        <f t="shared" si="29"/>
        <v>0</v>
      </c>
      <c r="G648" s="123" t="str">
        <f t="shared" si="28"/>
        <v>L648</v>
      </c>
    </row>
    <row r="649" spans="1:7" x14ac:dyDescent="0.2">
      <c r="A649" s="128">
        <v>629</v>
      </c>
      <c r="B649" s="123">
        <f t="shared" si="29"/>
        <v>0</v>
      </c>
      <c r="G649" s="123" t="str">
        <f t="shared" si="28"/>
        <v>L649</v>
      </c>
    </row>
    <row r="650" spans="1:7" x14ac:dyDescent="0.2">
      <c r="A650" s="128">
        <v>630</v>
      </c>
      <c r="B650" s="123">
        <f t="shared" si="29"/>
        <v>0</v>
      </c>
      <c r="G650" s="123" t="str">
        <f t="shared" si="28"/>
        <v>L650</v>
      </c>
    </row>
    <row r="651" spans="1:7" x14ac:dyDescent="0.2">
      <c r="A651" s="128">
        <v>631</v>
      </c>
      <c r="B651" s="123">
        <f t="shared" si="29"/>
        <v>0</v>
      </c>
      <c r="G651" s="123" t="str">
        <f t="shared" si="28"/>
        <v>L651</v>
      </c>
    </row>
    <row r="652" spans="1:7" x14ac:dyDescent="0.2">
      <c r="A652" s="128">
        <v>632</v>
      </c>
      <c r="B652" s="123">
        <f t="shared" si="29"/>
        <v>0</v>
      </c>
      <c r="G652" s="123" t="str">
        <f t="shared" si="28"/>
        <v>L652</v>
      </c>
    </row>
    <row r="653" spans="1:7" x14ac:dyDescent="0.2">
      <c r="A653" s="128">
        <v>633</v>
      </c>
      <c r="B653" s="123">
        <f t="shared" si="29"/>
        <v>0</v>
      </c>
      <c r="G653" s="123" t="str">
        <f t="shared" si="28"/>
        <v>L653</v>
      </c>
    </row>
    <row r="654" spans="1:7" x14ac:dyDescent="0.2">
      <c r="A654" s="128">
        <v>634</v>
      </c>
      <c r="B654" s="123">
        <f t="shared" si="29"/>
        <v>0</v>
      </c>
      <c r="G654" s="123" t="str">
        <f t="shared" si="28"/>
        <v>L654</v>
      </c>
    </row>
    <row r="655" spans="1:7" x14ac:dyDescent="0.2">
      <c r="A655" s="128">
        <v>635</v>
      </c>
      <c r="B655" s="123">
        <f t="shared" si="29"/>
        <v>0</v>
      </c>
      <c r="G655" s="123" t="str">
        <f t="shared" si="28"/>
        <v>L655</v>
      </c>
    </row>
    <row r="656" spans="1:7" x14ac:dyDescent="0.2">
      <c r="A656" s="128">
        <v>636</v>
      </c>
      <c r="B656" s="123">
        <f t="shared" si="29"/>
        <v>0</v>
      </c>
      <c r="G656" s="123" t="str">
        <f t="shared" si="28"/>
        <v>L656</v>
      </c>
    </row>
    <row r="657" spans="1:7" x14ac:dyDescent="0.2">
      <c r="A657" s="128">
        <v>637</v>
      </c>
      <c r="B657" s="123">
        <f t="shared" si="29"/>
        <v>0</v>
      </c>
      <c r="G657" s="123" t="str">
        <f t="shared" si="28"/>
        <v>L657</v>
      </c>
    </row>
    <row r="658" spans="1:7" x14ac:dyDescent="0.2">
      <c r="A658" s="128">
        <v>638</v>
      </c>
      <c r="B658" s="123">
        <f t="shared" si="29"/>
        <v>0</v>
      </c>
      <c r="G658" s="123" t="str">
        <f t="shared" si="28"/>
        <v>L658</v>
      </c>
    </row>
    <row r="659" spans="1:7" x14ac:dyDescent="0.2">
      <c r="A659" s="128">
        <v>639</v>
      </c>
      <c r="B659" s="123">
        <f t="shared" si="29"/>
        <v>0</v>
      </c>
      <c r="G659" s="123" t="str">
        <f t="shared" si="28"/>
        <v>L659</v>
      </c>
    </row>
    <row r="660" spans="1:7" x14ac:dyDescent="0.2">
      <c r="A660" s="128">
        <v>640</v>
      </c>
      <c r="B660" s="123">
        <f t="shared" si="29"/>
        <v>0</v>
      </c>
      <c r="G660" s="123" t="str">
        <f t="shared" si="28"/>
        <v>L660</v>
      </c>
    </row>
    <row r="661" spans="1:7" x14ac:dyDescent="0.2">
      <c r="A661" s="128">
        <v>641</v>
      </c>
      <c r="B661" s="123">
        <f t="shared" si="29"/>
        <v>0</v>
      </c>
      <c r="G661" s="123" t="str">
        <f t="shared" si="28"/>
        <v>L661</v>
      </c>
    </row>
    <row r="662" spans="1:7" x14ac:dyDescent="0.2">
      <c r="A662" s="128">
        <v>642</v>
      </c>
      <c r="B662" s="123">
        <f t="shared" si="29"/>
        <v>0</v>
      </c>
      <c r="G662" s="123" t="str">
        <f t="shared" si="28"/>
        <v>L662</v>
      </c>
    </row>
    <row r="663" spans="1:7" x14ac:dyDescent="0.2">
      <c r="A663" s="128">
        <v>643</v>
      </c>
      <c r="B663" s="123">
        <f t="shared" si="29"/>
        <v>0</v>
      </c>
      <c r="G663" s="123" t="str">
        <f t="shared" si="28"/>
        <v>L663</v>
      </c>
    </row>
    <row r="664" spans="1:7" x14ac:dyDescent="0.2">
      <c r="A664" s="128">
        <v>644</v>
      </c>
      <c r="B664" s="123">
        <f t="shared" si="29"/>
        <v>0</v>
      </c>
      <c r="G664" s="123" t="str">
        <f t="shared" si="28"/>
        <v>L664</v>
      </c>
    </row>
    <row r="665" spans="1:7" x14ac:dyDescent="0.2">
      <c r="A665" s="128">
        <v>645</v>
      </c>
      <c r="B665" s="123">
        <f t="shared" si="29"/>
        <v>0</v>
      </c>
      <c r="G665" s="123" t="str">
        <f t="shared" ref="G665:G728" si="30">"L"&amp;ROW()</f>
        <v>L665</v>
      </c>
    </row>
    <row r="666" spans="1:7" x14ac:dyDescent="0.2">
      <c r="A666" s="128">
        <v>646</v>
      </c>
      <c r="B666" s="123">
        <f t="shared" si="29"/>
        <v>0</v>
      </c>
      <c r="G666" s="123" t="str">
        <f t="shared" si="30"/>
        <v>L666</v>
      </c>
    </row>
    <row r="667" spans="1:7" x14ac:dyDescent="0.2">
      <c r="A667" s="128">
        <v>647</v>
      </c>
      <c r="B667" s="123">
        <f t="shared" si="29"/>
        <v>0</v>
      </c>
      <c r="G667" s="123" t="str">
        <f t="shared" si="30"/>
        <v>L667</v>
      </c>
    </row>
    <row r="668" spans="1:7" x14ac:dyDescent="0.2">
      <c r="A668" s="128">
        <v>648</v>
      </c>
      <c r="B668" s="123">
        <f t="shared" si="29"/>
        <v>0</v>
      </c>
      <c r="G668" s="123" t="str">
        <f t="shared" si="30"/>
        <v>L668</v>
      </c>
    </row>
    <row r="669" spans="1:7" x14ac:dyDescent="0.2">
      <c r="A669" s="128">
        <v>649</v>
      </c>
      <c r="B669" s="123">
        <f t="shared" si="29"/>
        <v>0</v>
      </c>
      <c r="G669" s="123" t="str">
        <f t="shared" si="30"/>
        <v>L669</v>
      </c>
    </row>
    <row r="670" spans="1:7" x14ac:dyDescent="0.2">
      <c r="A670" s="128">
        <v>650</v>
      </c>
      <c r="B670" s="123">
        <f t="shared" si="29"/>
        <v>0</v>
      </c>
      <c r="G670" s="123" t="str">
        <f t="shared" si="30"/>
        <v>L670</v>
      </c>
    </row>
    <row r="671" spans="1:7" x14ac:dyDescent="0.2">
      <c r="A671" s="128">
        <v>651</v>
      </c>
      <c r="B671" s="123">
        <f t="shared" si="29"/>
        <v>0</v>
      </c>
      <c r="G671" s="123" t="str">
        <f t="shared" si="30"/>
        <v>L671</v>
      </c>
    </row>
    <row r="672" spans="1:7" x14ac:dyDescent="0.2">
      <c r="A672" s="128">
        <v>652</v>
      </c>
      <c r="B672" s="123">
        <f t="shared" si="29"/>
        <v>0</v>
      </c>
      <c r="G672" s="123" t="str">
        <f t="shared" si="30"/>
        <v>L672</v>
      </c>
    </row>
    <row r="673" spans="1:7" x14ac:dyDescent="0.2">
      <c r="A673" s="128">
        <v>653</v>
      </c>
      <c r="B673" s="123">
        <f t="shared" si="29"/>
        <v>0</v>
      </c>
      <c r="G673" s="123" t="str">
        <f t="shared" si="30"/>
        <v>L673</v>
      </c>
    </row>
    <row r="674" spans="1:7" x14ac:dyDescent="0.2">
      <c r="A674" s="128">
        <v>654</v>
      </c>
      <c r="B674" s="123">
        <f t="shared" si="29"/>
        <v>0</v>
      </c>
      <c r="G674" s="123" t="str">
        <f t="shared" si="30"/>
        <v>L674</v>
      </c>
    </row>
    <row r="675" spans="1:7" x14ac:dyDescent="0.2">
      <c r="A675" s="128">
        <v>655</v>
      </c>
      <c r="B675" s="123">
        <f t="shared" si="29"/>
        <v>0</v>
      </c>
      <c r="G675" s="123" t="str">
        <f t="shared" si="30"/>
        <v>L675</v>
      </c>
    </row>
    <row r="676" spans="1:7" x14ac:dyDescent="0.2">
      <c r="A676" s="128">
        <v>656</v>
      </c>
      <c r="B676" s="123">
        <f t="shared" si="29"/>
        <v>0</v>
      </c>
      <c r="G676" s="123" t="str">
        <f t="shared" si="30"/>
        <v>L676</v>
      </c>
    </row>
    <row r="677" spans="1:7" x14ac:dyDescent="0.2">
      <c r="A677" s="128">
        <v>657</v>
      </c>
      <c r="B677" s="123">
        <f t="shared" si="29"/>
        <v>0</v>
      </c>
      <c r="G677" s="123" t="str">
        <f t="shared" si="30"/>
        <v>L677</v>
      </c>
    </row>
    <row r="678" spans="1:7" x14ac:dyDescent="0.2">
      <c r="A678" s="128">
        <v>658</v>
      </c>
      <c r="B678" s="123">
        <f t="shared" si="29"/>
        <v>0</v>
      </c>
      <c r="G678" s="123" t="str">
        <f t="shared" si="30"/>
        <v>L678</v>
      </c>
    </row>
    <row r="679" spans="1:7" x14ac:dyDescent="0.2">
      <c r="A679" s="128">
        <v>659</v>
      </c>
      <c r="B679" s="123">
        <f t="shared" si="29"/>
        <v>0</v>
      </c>
      <c r="G679" s="123" t="str">
        <f t="shared" si="30"/>
        <v>L679</v>
      </c>
    </row>
    <row r="680" spans="1:7" x14ac:dyDescent="0.2">
      <c r="A680" s="128">
        <v>660</v>
      </c>
      <c r="B680" s="123">
        <f t="shared" si="29"/>
        <v>0</v>
      </c>
      <c r="G680" s="123" t="str">
        <f t="shared" si="30"/>
        <v>L680</v>
      </c>
    </row>
    <row r="681" spans="1:7" x14ac:dyDescent="0.2">
      <c r="A681" s="128">
        <v>661</v>
      </c>
      <c r="B681" s="123">
        <f t="shared" si="29"/>
        <v>0</v>
      </c>
      <c r="G681" s="123" t="str">
        <f t="shared" si="30"/>
        <v>L681</v>
      </c>
    </row>
    <row r="682" spans="1:7" x14ac:dyDescent="0.2">
      <c r="A682" s="128">
        <v>662</v>
      </c>
      <c r="B682" s="123">
        <f t="shared" si="29"/>
        <v>0</v>
      </c>
      <c r="G682" s="123" t="str">
        <f t="shared" si="30"/>
        <v>L682</v>
      </c>
    </row>
    <row r="683" spans="1:7" x14ac:dyDescent="0.2">
      <c r="A683" s="128">
        <v>663</v>
      </c>
      <c r="B683" s="123">
        <f t="shared" si="29"/>
        <v>0</v>
      </c>
      <c r="G683" s="123" t="str">
        <f t="shared" si="30"/>
        <v>L683</v>
      </c>
    </row>
    <row r="684" spans="1:7" x14ac:dyDescent="0.2">
      <c r="A684" s="128">
        <v>664</v>
      </c>
      <c r="B684" s="123">
        <f t="shared" si="29"/>
        <v>0</v>
      </c>
      <c r="G684" s="123" t="str">
        <f t="shared" si="30"/>
        <v>L684</v>
      </c>
    </row>
    <row r="685" spans="1:7" x14ac:dyDescent="0.2">
      <c r="A685" s="128">
        <v>665</v>
      </c>
      <c r="B685" s="123">
        <f t="shared" si="29"/>
        <v>0</v>
      </c>
      <c r="G685" s="123" t="str">
        <f t="shared" si="30"/>
        <v>L685</v>
      </c>
    </row>
    <row r="686" spans="1:7" x14ac:dyDescent="0.2">
      <c r="A686" s="128">
        <v>666</v>
      </c>
      <c r="B686" s="123">
        <f t="shared" si="29"/>
        <v>0</v>
      </c>
      <c r="G686" s="123" t="str">
        <f t="shared" si="30"/>
        <v>L686</v>
      </c>
    </row>
    <row r="687" spans="1:7" x14ac:dyDescent="0.2">
      <c r="A687" s="128">
        <v>667</v>
      </c>
      <c r="B687" s="123">
        <f t="shared" si="29"/>
        <v>0</v>
      </c>
      <c r="G687" s="123" t="str">
        <f t="shared" si="30"/>
        <v>L687</v>
      </c>
    </row>
    <row r="688" spans="1:7" x14ac:dyDescent="0.2">
      <c r="A688" s="128">
        <v>668</v>
      </c>
      <c r="B688" s="123">
        <f t="shared" si="29"/>
        <v>0</v>
      </c>
      <c r="G688" s="123" t="str">
        <f t="shared" si="30"/>
        <v>L688</v>
      </c>
    </row>
    <row r="689" spans="1:7" x14ac:dyDescent="0.2">
      <c r="A689" s="128">
        <v>669</v>
      </c>
      <c r="B689" s="123">
        <f t="shared" si="29"/>
        <v>0</v>
      </c>
      <c r="G689" s="123" t="str">
        <f t="shared" si="30"/>
        <v>L689</v>
      </c>
    </row>
    <row r="690" spans="1:7" x14ac:dyDescent="0.2">
      <c r="A690" s="128">
        <v>670</v>
      </c>
      <c r="B690" s="123">
        <f t="shared" si="29"/>
        <v>0</v>
      </c>
      <c r="G690" s="123" t="str">
        <f t="shared" si="30"/>
        <v>L690</v>
      </c>
    </row>
    <row r="691" spans="1:7" x14ac:dyDescent="0.2">
      <c r="A691" s="128">
        <v>671</v>
      </c>
      <c r="B691" s="123">
        <f t="shared" si="29"/>
        <v>0</v>
      </c>
      <c r="G691" s="123" t="str">
        <f t="shared" si="30"/>
        <v>L691</v>
      </c>
    </row>
    <row r="692" spans="1:7" x14ac:dyDescent="0.2">
      <c r="A692" s="128">
        <v>672</v>
      </c>
      <c r="B692" s="123">
        <f t="shared" si="29"/>
        <v>0</v>
      </c>
      <c r="G692" s="123" t="str">
        <f t="shared" si="30"/>
        <v>L692</v>
      </c>
    </row>
    <row r="693" spans="1:7" x14ac:dyDescent="0.2">
      <c r="A693" s="128">
        <v>673</v>
      </c>
      <c r="B693" s="123">
        <f t="shared" ref="B693:B756" si="31">HLOOKUP($B$13,$C$21:$G$820,A693,FALSE)</f>
        <v>0</v>
      </c>
      <c r="G693" s="123" t="str">
        <f t="shared" si="30"/>
        <v>L693</v>
      </c>
    </row>
    <row r="694" spans="1:7" x14ac:dyDescent="0.2">
      <c r="A694" s="128">
        <v>674</v>
      </c>
      <c r="B694" s="123">
        <f t="shared" si="31"/>
        <v>0</v>
      </c>
      <c r="G694" s="123" t="str">
        <f t="shared" si="30"/>
        <v>L694</v>
      </c>
    </row>
    <row r="695" spans="1:7" x14ac:dyDescent="0.2">
      <c r="A695" s="128">
        <v>675</v>
      </c>
      <c r="B695" s="123">
        <f t="shared" si="31"/>
        <v>0</v>
      </c>
      <c r="G695" s="123" t="str">
        <f t="shared" si="30"/>
        <v>L695</v>
      </c>
    </row>
    <row r="696" spans="1:7" x14ac:dyDescent="0.2">
      <c r="A696" s="128">
        <v>676</v>
      </c>
      <c r="B696" s="123">
        <f t="shared" si="31"/>
        <v>0</v>
      </c>
      <c r="G696" s="123" t="str">
        <f t="shared" si="30"/>
        <v>L696</v>
      </c>
    </row>
    <row r="697" spans="1:7" x14ac:dyDescent="0.2">
      <c r="A697" s="128">
        <v>677</v>
      </c>
      <c r="B697" s="123">
        <f t="shared" si="31"/>
        <v>0</v>
      </c>
      <c r="G697" s="123" t="str">
        <f t="shared" si="30"/>
        <v>L697</v>
      </c>
    </row>
    <row r="698" spans="1:7" x14ac:dyDescent="0.2">
      <c r="A698" s="128">
        <v>678</v>
      </c>
      <c r="B698" s="123">
        <f t="shared" si="31"/>
        <v>0</v>
      </c>
      <c r="G698" s="123" t="str">
        <f t="shared" si="30"/>
        <v>L698</v>
      </c>
    </row>
    <row r="699" spans="1:7" x14ac:dyDescent="0.2">
      <c r="A699" s="128">
        <v>679</v>
      </c>
      <c r="B699" s="123">
        <f t="shared" si="31"/>
        <v>0</v>
      </c>
      <c r="G699" s="123" t="str">
        <f t="shared" si="30"/>
        <v>L699</v>
      </c>
    </row>
    <row r="700" spans="1:7" x14ac:dyDescent="0.2">
      <c r="A700" s="128">
        <v>680</v>
      </c>
      <c r="B700" s="123">
        <f t="shared" si="31"/>
        <v>0</v>
      </c>
      <c r="G700" s="123" t="str">
        <f t="shared" si="30"/>
        <v>L700</v>
      </c>
    </row>
    <row r="701" spans="1:7" x14ac:dyDescent="0.2">
      <c r="A701" s="128">
        <v>681</v>
      </c>
      <c r="B701" s="123">
        <f t="shared" si="31"/>
        <v>0</v>
      </c>
      <c r="G701" s="123" t="str">
        <f t="shared" si="30"/>
        <v>L701</v>
      </c>
    </row>
    <row r="702" spans="1:7" x14ac:dyDescent="0.2">
      <c r="A702" s="128">
        <v>682</v>
      </c>
      <c r="B702" s="123">
        <f t="shared" si="31"/>
        <v>0</v>
      </c>
      <c r="G702" s="123" t="str">
        <f t="shared" si="30"/>
        <v>L702</v>
      </c>
    </row>
    <row r="703" spans="1:7" x14ac:dyDescent="0.2">
      <c r="A703" s="128">
        <v>683</v>
      </c>
      <c r="B703" s="123">
        <f t="shared" si="31"/>
        <v>0</v>
      </c>
      <c r="G703" s="123" t="str">
        <f t="shared" si="30"/>
        <v>L703</v>
      </c>
    </row>
    <row r="704" spans="1:7" x14ac:dyDescent="0.2">
      <c r="A704" s="128">
        <v>684</v>
      </c>
      <c r="B704" s="123">
        <f t="shared" si="31"/>
        <v>0</v>
      </c>
      <c r="G704" s="123" t="str">
        <f t="shared" si="30"/>
        <v>L704</v>
      </c>
    </row>
    <row r="705" spans="1:7" x14ac:dyDescent="0.2">
      <c r="A705" s="128">
        <v>685</v>
      </c>
      <c r="B705" s="123">
        <f t="shared" si="31"/>
        <v>0</v>
      </c>
      <c r="G705" s="123" t="str">
        <f t="shared" si="30"/>
        <v>L705</v>
      </c>
    </row>
    <row r="706" spans="1:7" x14ac:dyDescent="0.2">
      <c r="A706" s="128">
        <v>686</v>
      </c>
      <c r="B706" s="123">
        <f t="shared" si="31"/>
        <v>0</v>
      </c>
      <c r="G706" s="123" t="str">
        <f t="shared" si="30"/>
        <v>L706</v>
      </c>
    </row>
    <row r="707" spans="1:7" x14ac:dyDescent="0.2">
      <c r="A707" s="128">
        <v>687</v>
      </c>
      <c r="B707" s="123">
        <f t="shared" si="31"/>
        <v>0</v>
      </c>
      <c r="G707" s="123" t="str">
        <f t="shared" si="30"/>
        <v>L707</v>
      </c>
    </row>
    <row r="708" spans="1:7" x14ac:dyDescent="0.2">
      <c r="A708" s="128">
        <v>688</v>
      </c>
      <c r="B708" s="123">
        <f t="shared" si="31"/>
        <v>0</v>
      </c>
      <c r="G708" s="123" t="str">
        <f t="shared" si="30"/>
        <v>L708</v>
      </c>
    </row>
    <row r="709" spans="1:7" x14ac:dyDescent="0.2">
      <c r="A709" s="128">
        <v>689</v>
      </c>
      <c r="B709" s="123">
        <f t="shared" si="31"/>
        <v>0</v>
      </c>
      <c r="G709" s="123" t="str">
        <f t="shared" si="30"/>
        <v>L709</v>
      </c>
    </row>
    <row r="710" spans="1:7" x14ac:dyDescent="0.2">
      <c r="A710" s="128">
        <v>690</v>
      </c>
      <c r="B710" s="123">
        <f t="shared" si="31"/>
        <v>0</v>
      </c>
      <c r="G710" s="123" t="str">
        <f t="shared" si="30"/>
        <v>L710</v>
      </c>
    </row>
    <row r="711" spans="1:7" x14ac:dyDescent="0.2">
      <c r="A711" s="128">
        <v>691</v>
      </c>
      <c r="B711" s="123">
        <f t="shared" si="31"/>
        <v>0</v>
      </c>
      <c r="G711" s="123" t="str">
        <f t="shared" si="30"/>
        <v>L711</v>
      </c>
    </row>
    <row r="712" spans="1:7" x14ac:dyDescent="0.2">
      <c r="A712" s="128">
        <v>692</v>
      </c>
      <c r="B712" s="123">
        <f t="shared" si="31"/>
        <v>0</v>
      </c>
      <c r="G712" s="123" t="str">
        <f t="shared" si="30"/>
        <v>L712</v>
      </c>
    </row>
    <row r="713" spans="1:7" x14ac:dyDescent="0.2">
      <c r="A713" s="128">
        <v>693</v>
      </c>
      <c r="B713" s="123">
        <f t="shared" si="31"/>
        <v>0</v>
      </c>
      <c r="G713" s="123" t="str">
        <f t="shared" si="30"/>
        <v>L713</v>
      </c>
    </row>
    <row r="714" spans="1:7" x14ac:dyDescent="0.2">
      <c r="A714" s="128">
        <v>694</v>
      </c>
      <c r="B714" s="123">
        <f t="shared" si="31"/>
        <v>0</v>
      </c>
      <c r="G714" s="123" t="str">
        <f t="shared" si="30"/>
        <v>L714</v>
      </c>
    </row>
    <row r="715" spans="1:7" x14ac:dyDescent="0.2">
      <c r="A715" s="128">
        <v>695</v>
      </c>
      <c r="B715" s="123">
        <f t="shared" si="31"/>
        <v>0</v>
      </c>
      <c r="G715" s="123" t="str">
        <f t="shared" si="30"/>
        <v>L715</v>
      </c>
    </row>
    <row r="716" spans="1:7" x14ac:dyDescent="0.2">
      <c r="A716" s="128">
        <v>696</v>
      </c>
      <c r="B716" s="123">
        <f t="shared" si="31"/>
        <v>0</v>
      </c>
      <c r="G716" s="123" t="str">
        <f t="shared" si="30"/>
        <v>L716</v>
      </c>
    </row>
    <row r="717" spans="1:7" x14ac:dyDescent="0.2">
      <c r="A717" s="128">
        <v>697</v>
      </c>
      <c r="B717" s="123">
        <f t="shared" si="31"/>
        <v>0</v>
      </c>
      <c r="G717" s="123" t="str">
        <f t="shared" si="30"/>
        <v>L717</v>
      </c>
    </row>
    <row r="718" spans="1:7" x14ac:dyDescent="0.2">
      <c r="A718" s="128">
        <v>698</v>
      </c>
      <c r="B718" s="123">
        <f t="shared" si="31"/>
        <v>0</v>
      </c>
      <c r="G718" s="123" t="str">
        <f t="shared" si="30"/>
        <v>L718</v>
      </c>
    </row>
    <row r="719" spans="1:7" x14ac:dyDescent="0.2">
      <c r="A719" s="128">
        <v>699</v>
      </c>
      <c r="B719" s="123">
        <f t="shared" si="31"/>
        <v>0</v>
      </c>
      <c r="G719" s="123" t="str">
        <f t="shared" si="30"/>
        <v>L719</v>
      </c>
    </row>
    <row r="720" spans="1:7" x14ac:dyDescent="0.2">
      <c r="A720" s="128">
        <v>700</v>
      </c>
      <c r="B720" s="123">
        <f t="shared" si="31"/>
        <v>0</v>
      </c>
      <c r="G720" s="123" t="str">
        <f t="shared" si="30"/>
        <v>L720</v>
      </c>
    </row>
    <row r="721" spans="1:7" x14ac:dyDescent="0.2">
      <c r="A721" s="128">
        <v>701</v>
      </c>
      <c r="B721" s="123">
        <f t="shared" si="31"/>
        <v>0</v>
      </c>
      <c r="G721" s="123" t="str">
        <f t="shared" si="30"/>
        <v>L721</v>
      </c>
    </row>
    <row r="722" spans="1:7" x14ac:dyDescent="0.2">
      <c r="A722" s="128">
        <v>702</v>
      </c>
      <c r="B722" s="123">
        <f t="shared" si="31"/>
        <v>0</v>
      </c>
      <c r="G722" s="123" t="str">
        <f t="shared" si="30"/>
        <v>L722</v>
      </c>
    </row>
    <row r="723" spans="1:7" x14ac:dyDescent="0.2">
      <c r="A723" s="128">
        <v>703</v>
      </c>
      <c r="B723" s="123">
        <f t="shared" si="31"/>
        <v>0</v>
      </c>
      <c r="G723" s="123" t="str">
        <f t="shared" si="30"/>
        <v>L723</v>
      </c>
    </row>
    <row r="724" spans="1:7" x14ac:dyDescent="0.2">
      <c r="A724" s="128">
        <v>704</v>
      </c>
      <c r="B724" s="123">
        <f t="shared" si="31"/>
        <v>0</v>
      </c>
      <c r="G724" s="123" t="str">
        <f t="shared" si="30"/>
        <v>L724</v>
      </c>
    </row>
    <row r="725" spans="1:7" x14ac:dyDescent="0.2">
      <c r="A725" s="128">
        <v>705</v>
      </c>
      <c r="B725" s="123">
        <f t="shared" si="31"/>
        <v>0</v>
      </c>
      <c r="G725" s="123" t="str">
        <f t="shared" si="30"/>
        <v>L725</v>
      </c>
    </row>
    <row r="726" spans="1:7" x14ac:dyDescent="0.2">
      <c r="A726" s="128">
        <v>706</v>
      </c>
      <c r="B726" s="123">
        <f t="shared" si="31"/>
        <v>0</v>
      </c>
      <c r="G726" s="123" t="str">
        <f t="shared" si="30"/>
        <v>L726</v>
      </c>
    </row>
    <row r="727" spans="1:7" x14ac:dyDescent="0.2">
      <c r="A727" s="128">
        <v>707</v>
      </c>
      <c r="B727" s="123">
        <f t="shared" si="31"/>
        <v>0</v>
      </c>
      <c r="G727" s="123" t="str">
        <f t="shared" si="30"/>
        <v>L727</v>
      </c>
    </row>
    <row r="728" spans="1:7" x14ac:dyDescent="0.2">
      <c r="A728" s="128">
        <v>708</v>
      </c>
      <c r="B728" s="123">
        <f t="shared" si="31"/>
        <v>0</v>
      </c>
      <c r="G728" s="123" t="str">
        <f t="shared" si="30"/>
        <v>L728</v>
      </c>
    </row>
    <row r="729" spans="1:7" x14ac:dyDescent="0.2">
      <c r="A729" s="128">
        <v>709</v>
      </c>
      <c r="B729" s="123">
        <f t="shared" si="31"/>
        <v>0</v>
      </c>
      <c r="G729" s="123" t="str">
        <f t="shared" ref="G729:G792" si="32">"L"&amp;ROW()</f>
        <v>L729</v>
      </c>
    </row>
    <row r="730" spans="1:7" x14ac:dyDescent="0.2">
      <c r="A730" s="128">
        <v>710</v>
      </c>
      <c r="B730" s="123">
        <f t="shared" si="31"/>
        <v>0</v>
      </c>
      <c r="G730" s="123" t="str">
        <f t="shared" si="32"/>
        <v>L730</v>
      </c>
    </row>
    <row r="731" spans="1:7" x14ac:dyDescent="0.2">
      <c r="A731" s="128">
        <v>711</v>
      </c>
      <c r="B731" s="123">
        <f t="shared" si="31"/>
        <v>0</v>
      </c>
      <c r="G731" s="123" t="str">
        <f t="shared" si="32"/>
        <v>L731</v>
      </c>
    </row>
    <row r="732" spans="1:7" x14ac:dyDescent="0.2">
      <c r="A732" s="128">
        <v>712</v>
      </c>
      <c r="B732" s="123">
        <f t="shared" si="31"/>
        <v>0</v>
      </c>
      <c r="G732" s="123" t="str">
        <f t="shared" si="32"/>
        <v>L732</v>
      </c>
    </row>
    <row r="733" spans="1:7" x14ac:dyDescent="0.2">
      <c r="A733" s="128">
        <v>713</v>
      </c>
      <c r="B733" s="123">
        <f t="shared" si="31"/>
        <v>0</v>
      </c>
      <c r="G733" s="123" t="str">
        <f t="shared" si="32"/>
        <v>L733</v>
      </c>
    </row>
    <row r="734" spans="1:7" x14ac:dyDescent="0.2">
      <c r="A734" s="128">
        <v>714</v>
      </c>
      <c r="B734" s="123">
        <f t="shared" si="31"/>
        <v>0</v>
      </c>
      <c r="G734" s="123" t="str">
        <f t="shared" si="32"/>
        <v>L734</v>
      </c>
    </row>
    <row r="735" spans="1:7" x14ac:dyDescent="0.2">
      <c r="A735" s="128">
        <v>715</v>
      </c>
      <c r="B735" s="123">
        <f t="shared" si="31"/>
        <v>0</v>
      </c>
      <c r="G735" s="123" t="str">
        <f t="shared" si="32"/>
        <v>L735</v>
      </c>
    </row>
    <row r="736" spans="1:7" x14ac:dyDescent="0.2">
      <c r="A736" s="128">
        <v>716</v>
      </c>
      <c r="B736" s="123">
        <f t="shared" si="31"/>
        <v>0</v>
      </c>
      <c r="G736" s="123" t="str">
        <f t="shared" si="32"/>
        <v>L736</v>
      </c>
    </row>
    <row r="737" spans="1:7" x14ac:dyDescent="0.2">
      <c r="A737" s="128">
        <v>717</v>
      </c>
      <c r="B737" s="123">
        <f t="shared" si="31"/>
        <v>0</v>
      </c>
      <c r="G737" s="123" t="str">
        <f t="shared" si="32"/>
        <v>L737</v>
      </c>
    </row>
    <row r="738" spans="1:7" x14ac:dyDescent="0.2">
      <c r="A738" s="128">
        <v>718</v>
      </c>
      <c r="B738" s="123">
        <f t="shared" si="31"/>
        <v>0</v>
      </c>
      <c r="G738" s="123" t="str">
        <f t="shared" si="32"/>
        <v>L738</v>
      </c>
    </row>
    <row r="739" spans="1:7" x14ac:dyDescent="0.2">
      <c r="A739" s="128">
        <v>719</v>
      </c>
      <c r="B739" s="123">
        <f t="shared" si="31"/>
        <v>0</v>
      </c>
      <c r="G739" s="123" t="str">
        <f t="shared" si="32"/>
        <v>L739</v>
      </c>
    </row>
    <row r="740" spans="1:7" x14ac:dyDescent="0.2">
      <c r="A740" s="128">
        <v>720</v>
      </c>
      <c r="B740" s="123">
        <f t="shared" si="31"/>
        <v>0</v>
      </c>
      <c r="G740" s="123" t="str">
        <f t="shared" si="32"/>
        <v>L740</v>
      </c>
    </row>
    <row r="741" spans="1:7" x14ac:dyDescent="0.2">
      <c r="A741" s="128">
        <v>721</v>
      </c>
      <c r="B741" s="123">
        <f t="shared" si="31"/>
        <v>0</v>
      </c>
      <c r="G741" s="123" t="str">
        <f t="shared" si="32"/>
        <v>L741</v>
      </c>
    </row>
    <row r="742" spans="1:7" x14ac:dyDescent="0.2">
      <c r="A742" s="128">
        <v>722</v>
      </c>
      <c r="B742" s="123">
        <f t="shared" si="31"/>
        <v>0</v>
      </c>
      <c r="G742" s="123" t="str">
        <f t="shared" si="32"/>
        <v>L742</v>
      </c>
    </row>
    <row r="743" spans="1:7" x14ac:dyDescent="0.2">
      <c r="A743" s="128">
        <v>723</v>
      </c>
      <c r="B743" s="123">
        <f t="shared" si="31"/>
        <v>0</v>
      </c>
      <c r="G743" s="123" t="str">
        <f t="shared" si="32"/>
        <v>L743</v>
      </c>
    </row>
    <row r="744" spans="1:7" x14ac:dyDescent="0.2">
      <c r="A744" s="128">
        <v>724</v>
      </c>
      <c r="B744" s="123">
        <f t="shared" si="31"/>
        <v>0</v>
      </c>
      <c r="G744" s="123" t="str">
        <f t="shared" si="32"/>
        <v>L744</v>
      </c>
    </row>
    <row r="745" spans="1:7" x14ac:dyDescent="0.2">
      <c r="A745" s="128">
        <v>725</v>
      </c>
      <c r="B745" s="123">
        <f t="shared" si="31"/>
        <v>0</v>
      </c>
      <c r="G745" s="123" t="str">
        <f t="shared" si="32"/>
        <v>L745</v>
      </c>
    </row>
    <row r="746" spans="1:7" x14ac:dyDescent="0.2">
      <c r="A746" s="128">
        <v>726</v>
      </c>
      <c r="B746" s="123">
        <f t="shared" si="31"/>
        <v>0</v>
      </c>
      <c r="G746" s="123" t="str">
        <f t="shared" si="32"/>
        <v>L746</v>
      </c>
    </row>
    <row r="747" spans="1:7" x14ac:dyDescent="0.2">
      <c r="A747" s="128">
        <v>727</v>
      </c>
      <c r="B747" s="123">
        <f t="shared" si="31"/>
        <v>0</v>
      </c>
      <c r="G747" s="123" t="str">
        <f t="shared" si="32"/>
        <v>L747</v>
      </c>
    </row>
    <row r="748" spans="1:7" x14ac:dyDescent="0.2">
      <c r="A748" s="128">
        <v>728</v>
      </c>
      <c r="B748" s="123">
        <f t="shared" si="31"/>
        <v>0</v>
      </c>
      <c r="G748" s="123" t="str">
        <f t="shared" si="32"/>
        <v>L748</v>
      </c>
    </row>
    <row r="749" spans="1:7" x14ac:dyDescent="0.2">
      <c r="A749" s="128">
        <v>729</v>
      </c>
      <c r="B749" s="123">
        <f t="shared" si="31"/>
        <v>0</v>
      </c>
      <c r="G749" s="123" t="str">
        <f t="shared" si="32"/>
        <v>L749</v>
      </c>
    </row>
    <row r="750" spans="1:7" x14ac:dyDescent="0.2">
      <c r="A750" s="128">
        <v>730</v>
      </c>
      <c r="B750" s="123">
        <f t="shared" si="31"/>
        <v>0</v>
      </c>
      <c r="G750" s="123" t="str">
        <f t="shared" si="32"/>
        <v>L750</v>
      </c>
    </row>
    <row r="751" spans="1:7" x14ac:dyDescent="0.2">
      <c r="A751" s="128">
        <v>731</v>
      </c>
      <c r="B751" s="123">
        <f t="shared" si="31"/>
        <v>0</v>
      </c>
      <c r="G751" s="123" t="str">
        <f t="shared" si="32"/>
        <v>L751</v>
      </c>
    </row>
    <row r="752" spans="1:7" x14ac:dyDescent="0.2">
      <c r="A752" s="128">
        <v>732</v>
      </c>
      <c r="B752" s="123">
        <f t="shared" si="31"/>
        <v>0</v>
      </c>
      <c r="G752" s="123" t="str">
        <f t="shared" si="32"/>
        <v>L752</v>
      </c>
    </row>
    <row r="753" spans="1:7" x14ac:dyDescent="0.2">
      <c r="A753" s="128">
        <v>733</v>
      </c>
      <c r="B753" s="123">
        <f t="shared" si="31"/>
        <v>0</v>
      </c>
      <c r="G753" s="123" t="str">
        <f t="shared" si="32"/>
        <v>L753</v>
      </c>
    </row>
    <row r="754" spans="1:7" x14ac:dyDescent="0.2">
      <c r="A754" s="128">
        <v>734</v>
      </c>
      <c r="B754" s="123">
        <f t="shared" si="31"/>
        <v>0</v>
      </c>
      <c r="G754" s="123" t="str">
        <f t="shared" si="32"/>
        <v>L754</v>
      </c>
    </row>
    <row r="755" spans="1:7" x14ac:dyDescent="0.2">
      <c r="A755" s="128">
        <v>735</v>
      </c>
      <c r="B755" s="123">
        <f t="shared" si="31"/>
        <v>0</v>
      </c>
      <c r="G755" s="123" t="str">
        <f t="shared" si="32"/>
        <v>L755</v>
      </c>
    </row>
    <row r="756" spans="1:7" x14ac:dyDescent="0.2">
      <c r="A756" s="128">
        <v>736</v>
      </c>
      <c r="B756" s="123">
        <f t="shared" si="31"/>
        <v>0</v>
      </c>
      <c r="G756" s="123" t="str">
        <f t="shared" si="32"/>
        <v>L756</v>
      </c>
    </row>
    <row r="757" spans="1:7" x14ac:dyDescent="0.2">
      <c r="A757" s="128">
        <v>737</v>
      </c>
      <c r="B757" s="123">
        <f t="shared" ref="B757:B820" si="33">HLOOKUP($B$13,$C$21:$G$820,A757,FALSE)</f>
        <v>0</v>
      </c>
      <c r="G757" s="123" t="str">
        <f t="shared" si="32"/>
        <v>L757</v>
      </c>
    </row>
    <row r="758" spans="1:7" x14ac:dyDescent="0.2">
      <c r="A758" s="128">
        <v>738</v>
      </c>
      <c r="B758" s="123">
        <f t="shared" si="33"/>
        <v>0</v>
      </c>
      <c r="G758" s="123" t="str">
        <f t="shared" si="32"/>
        <v>L758</v>
      </c>
    </row>
    <row r="759" spans="1:7" x14ac:dyDescent="0.2">
      <c r="A759" s="128">
        <v>739</v>
      </c>
      <c r="B759" s="123">
        <f t="shared" si="33"/>
        <v>0</v>
      </c>
      <c r="G759" s="123" t="str">
        <f t="shared" si="32"/>
        <v>L759</v>
      </c>
    </row>
    <row r="760" spans="1:7" x14ac:dyDescent="0.2">
      <c r="A760" s="128">
        <v>740</v>
      </c>
      <c r="B760" s="123">
        <f t="shared" si="33"/>
        <v>0</v>
      </c>
      <c r="G760" s="123" t="str">
        <f t="shared" si="32"/>
        <v>L760</v>
      </c>
    </row>
    <row r="761" spans="1:7" x14ac:dyDescent="0.2">
      <c r="A761" s="128">
        <v>741</v>
      </c>
      <c r="B761" s="123">
        <f t="shared" si="33"/>
        <v>0</v>
      </c>
      <c r="G761" s="123" t="str">
        <f t="shared" si="32"/>
        <v>L761</v>
      </c>
    </row>
    <row r="762" spans="1:7" x14ac:dyDescent="0.2">
      <c r="A762" s="128">
        <v>742</v>
      </c>
      <c r="B762" s="123">
        <f t="shared" si="33"/>
        <v>0</v>
      </c>
      <c r="G762" s="123" t="str">
        <f t="shared" si="32"/>
        <v>L762</v>
      </c>
    </row>
    <row r="763" spans="1:7" x14ac:dyDescent="0.2">
      <c r="A763" s="128">
        <v>743</v>
      </c>
      <c r="B763" s="123">
        <f t="shared" si="33"/>
        <v>0</v>
      </c>
      <c r="G763" s="123" t="str">
        <f t="shared" si="32"/>
        <v>L763</v>
      </c>
    </row>
    <row r="764" spans="1:7" x14ac:dyDescent="0.2">
      <c r="A764" s="128">
        <v>744</v>
      </c>
      <c r="B764" s="123">
        <f t="shared" si="33"/>
        <v>0</v>
      </c>
      <c r="G764" s="123" t="str">
        <f t="shared" si="32"/>
        <v>L764</v>
      </c>
    </row>
    <row r="765" spans="1:7" x14ac:dyDescent="0.2">
      <c r="A765" s="128">
        <v>745</v>
      </c>
      <c r="B765" s="123">
        <f t="shared" si="33"/>
        <v>0</v>
      </c>
      <c r="G765" s="123" t="str">
        <f t="shared" si="32"/>
        <v>L765</v>
      </c>
    </row>
    <row r="766" spans="1:7" x14ac:dyDescent="0.2">
      <c r="A766" s="128">
        <v>746</v>
      </c>
      <c r="B766" s="123">
        <f t="shared" si="33"/>
        <v>0</v>
      </c>
      <c r="G766" s="123" t="str">
        <f t="shared" si="32"/>
        <v>L766</v>
      </c>
    </row>
    <row r="767" spans="1:7" x14ac:dyDescent="0.2">
      <c r="A767" s="128">
        <v>747</v>
      </c>
      <c r="B767" s="123">
        <f t="shared" si="33"/>
        <v>0</v>
      </c>
      <c r="G767" s="123" t="str">
        <f t="shared" si="32"/>
        <v>L767</v>
      </c>
    </row>
    <row r="768" spans="1:7" x14ac:dyDescent="0.2">
      <c r="A768" s="128">
        <v>748</v>
      </c>
      <c r="B768" s="123">
        <f t="shared" si="33"/>
        <v>0</v>
      </c>
      <c r="G768" s="123" t="str">
        <f t="shared" si="32"/>
        <v>L768</v>
      </c>
    </row>
    <row r="769" spans="1:7" x14ac:dyDescent="0.2">
      <c r="A769" s="128">
        <v>749</v>
      </c>
      <c r="B769" s="123">
        <f t="shared" si="33"/>
        <v>0</v>
      </c>
      <c r="G769" s="123" t="str">
        <f t="shared" si="32"/>
        <v>L769</v>
      </c>
    </row>
    <row r="770" spans="1:7" x14ac:dyDescent="0.2">
      <c r="A770" s="128">
        <v>750</v>
      </c>
      <c r="B770" s="123">
        <f t="shared" si="33"/>
        <v>0</v>
      </c>
      <c r="G770" s="123" t="str">
        <f t="shared" si="32"/>
        <v>L770</v>
      </c>
    </row>
    <row r="771" spans="1:7" x14ac:dyDescent="0.2">
      <c r="A771" s="128">
        <v>751</v>
      </c>
      <c r="B771" s="123">
        <f t="shared" si="33"/>
        <v>0</v>
      </c>
      <c r="G771" s="123" t="str">
        <f t="shared" si="32"/>
        <v>L771</v>
      </c>
    </row>
    <row r="772" spans="1:7" x14ac:dyDescent="0.2">
      <c r="A772" s="128">
        <v>752</v>
      </c>
      <c r="B772" s="123">
        <f t="shared" si="33"/>
        <v>0</v>
      </c>
      <c r="G772" s="123" t="str">
        <f t="shared" si="32"/>
        <v>L772</v>
      </c>
    </row>
    <row r="773" spans="1:7" x14ac:dyDescent="0.2">
      <c r="A773" s="128">
        <v>753</v>
      </c>
      <c r="B773" s="123">
        <f t="shared" si="33"/>
        <v>0</v>
      </c>
      <c r="G773" s="123" t="str">
        <f t="shared" si="32"/>
        <v>L773</v>
      </c>
    </row>
    <row r="774" spans="1:7" x14ac:dyDescent="0.2">
      <c r="A774" s="128">
        <v>754</v>
      </c>
      <c r="B774" s="123">
        <f t="shared" si="33"/>
        <v>0</v>
      </c>
      <c r="G774" s="123" t="str">
        <f t="shared" si="32"/>
        <v>L774</v>
      </c>
    </row>
    <row r="775" spans="1:7" x14ac:dyDescent="0.2">
      <c r="A775" s="128">
        <v>755</v>
      </c>
      <c r="B775" s="123">
        <f t="shared" si="33"/>
        <v>0</v>
      </c>
      <c r="G775" s="123" t="str">
        <f t="shared" si="32"/>
        <v>L775</v>
      </c>
    </row>
    <row r="776" spans="1:7" x14ac:dyDescent="0.2">
      <c r="A776" s="128">
        <v>756</v>
      </c>
      <c r="B776" s="123">
        <f t="shared" si="33"/>
        <v>0</v>
      </c>
      <c r="G776" s="123" t="str">
        <f t="shared" si="32"/>
        <v>L776</v>
      </c>
    </row>
    <row r="777" spans="1:7" x14ac:dyDescent="0.2">
      <c r="A777" s="128">
        <v>757</v>
      </c>
      <c r="B777" s="123">
        <f t="shared" si="33"/>
        <v>0</v>
      </c>
      <c r="G777" s="123" t="str">
        <f t="shared" si="32"/>
        <v>L777</v>
      </c>
    </row>
    <row r="778" spans="1:7" x14ac:dyDescent="0.2">
      <c r="A778" s="128">
        <v>758</v>
      </c>
      <c r="B778" s="123">
        <f t="shared" si="33"/>
        <v>0</v>
      </c>
      <c r="G778" s="123" t="str">
        <f t="shared" si="32"/>
        <v>L778</v>
      </c>
    </row>
    <row r="779" spans="1:7" x14ac:dyDescent="0.2">
      <c r="A779" s="128">
        <v>759</v>
      </c>
      <c r="B779" s="123">
        <f t="shared" si="33"/>
        <v>0</v>
      </c>
      <c r="G779" s="123" t="str">
        <f t="shared" si="32"/>
        <v>L779</v>
      </c>
    </row>
    <row r="780" spans="1:7" x14ac:dyDescent="0.2">
      <c r="A780" s="128">
        <v>760</v>
      </c>
      <c r="B780" s="123">
        <f t="shared" si="33"/>
        <v>0</v>
      </c>
      <c r="G780" s="123" t="str">
        <f t="shared" si="32"/>
        <v>L780</v>
      </c>
    </row>
    <row r="781" spans="1:7" x14ac:dyDescent="0.2">
      <c r="A781" s="128">
        <v>761</v>
      </c>
      <c r="B781" s="123">
        <f t="shared" si="33"/>
        <v>0</v>
      </c>
      <c r="G781" s="123" t="str">
        <f t="shared" si="32"/>
        <v>L781</v>
      </c>
    </row>
    <row r="782" spans="1:7" x14ac:dyDescent="0.2">
      <c r="A782" s="128">
        <v>762</v>
      </c>
      <c r="B782" s="123">
        <f t="shared" si="33"/>
        <v>0</v>
      </c>
      <c r="G782" s="123" t="str">
        <f t="shared" si="32"/>
        <v>L782</v>
      </c>
    </row>
    <row r="783" spans="1:7" x14ac:dyDescent="0.2">
      <c r="A783" s="128">
        <v>763</v>
      </c>
      <c r="B783" s="123">
        <f t="shared" si="33"/>
        <v>0</v>
      </c>
      <c r="G783" s="123" t="str">
        <f t="shared" si="32"/>
        <v>L783</v>
      </c>
    </row>
    <row r="784" spans="1:7" x14ac:dyDescent="0.2">
      <c r="A784" s="128">
        <v>764</v>
      </c>
      <c r="B784" s="123">
        <f t="shared" si="33"/>
        <v>0</v>
      </c>
      <c r="G784" s="123" t="str">
        <f t="shared" si="32"/>
        <v>L784</v>
      </c>
    </row>
    <row r="785" spans="1:7" x14ac:dyDescent="0.2">
      <c r="A785" s="128">
        <v>765</v>
      </c>
      <c r="B785" s="123">
        <f t="shared" si="33"/>
        <v>0</v>
      </c>
      <c r="G785" s="123" t="str">
        <f t="shared" si="32"/>
        <v>L785</v>
      </c>
    </row>
    <row r="786" spans="1:7" x14ac:dyDescent="0.2">
      <c r="A786" s="128">
        <v>766</v>
      </c>
      <c r="B786" s="123">
        <f t="shared" si="33"/>
        <v>0</v>
      </c>
      <c r="G786" s="123" t="str">
        <f t="shared" si="32"/>
        <v>L786</v>
      </c>
    </row>
    <row r="787" spans="1:7" x14ac:dyDescent="0.2">
      <c r="A787" s="128">
        <v>767</v>
      </c>
      <c r="B787" s="123">
        <f t="shared" si="33"/>
        <v>0</v>
      </c>
      <c r="G787" s="123" t="str">
        <f t="shared" si="32"/>
        <v>L787</v>
      </c>
    </row>
    <row r="788" spans="1:7" x14ac:dyDescent="0.2">
      <c r="A788" s="128">
        <v>768</v>
      </c>
      <c r="B788" s="123">
        <f t="shared" si="33"/>
        <v>0</v>
      </c>
      <c r="G788" s="123" t="str">
        <f t="shared" si="32"/>
        <v>L788</v>
      </c>
    </row>
    <row r="789" spans="1:7" x14ac:dyDescent="0.2">
      <c r="A789" s="128">
        <v>769</v>
      </c>
      <c r="B789" s="123">
        <f t="shared" si="33"/>
        <v>0</v>
      </c>
      <c r="G789" s="123" t="str">
        <f t="shared" si="32"/>
        <v>L789</v>
      </c>
    </row>
    <row r="790" spans="1:7" x14ac:dyDescent="0.2">
      <c r="A790" s="128">
        <v>770</v>
      </c>
      <c r="B790" s="123">
        <f t="shared" si="33"/>
        <v>0</v>
      </c>
      <c r="G790" s="123" t="str">
        <f t="shared" si="32"/>
        <v>L790</v>
      </c>
    </row>
    <row r="791" spans="1:7" x14ac:dyDescent="0.2">
      <c r="A791" s="128">
        <v>771</v>
      </c>
      <c r="B791" s="123">
        <f t="shared" si="33"/>
        <v>0</v>
      </c>
      <c r="G791" s="123" t="str">
        <f t="shared" si="32"/>
        <v>L791</v>
      </c>
    </row>
    <row r="792" spans="1:7" x14ac:dyDescent="0.2">
      <c r="A792" s="128">
        <v>772</v>
      </c>
      <c r="B792" s="123">
        <f t="shared" si="33"/>
        <v>0</v>
      </c>
      <c r="G792" s="123" t="str">
        <f t="shared" si="32"/>
        <v>L792</v>
      </c>
    </row>
    <row r="793" spans="1:7" x14ac:dyDescent="0.2">
      <c r="A793" s="128">
        <v>773</v>
      </c>
      <c r="B793" s="123">
        <f t="shared" si="33"/>
        <v>0</v>
      </c>
      <c r="G793" s="123" t="str">
        <f t="shared" ref="G793:G820" si="34">"L"&amp;ROW()</f>
        <v>L793</v>
      </c>
    </row>
    <row r="794" spans="1:7" x14ac:dyDescent="0.2">
      <c r="A794" s="128">
        <v>774</v>
      </c>
      <c r="B794" s="123">
        <f t="shared" si="33"/>
        <v>0</v>
      </c>
      <c r="G794" s="123" t="str">
        <f t="shared" si="34"/>
        <v>L794</v>
      </c>
    </row>
    <row r="795" spans="1:7" x14ac:dyDescent="0.2">
      <c r="A795" s="128">
        <v>775</v>
      </c>
      <c r="B795" s="123">
        <f t="shared" si="33"/>
        <v>0</v>
      </c>
      <c r="G795" s="123" t="str">
        <f t="shared" si="34"/>
        <v>L795</v>
      </c>
    </row>
    <row r="796" spans="1:7" x14ac:dyDescent="0.2">
      <c r="A796" s="128">
        <v>776</v>
      </c>
      <c r="B796" s="123">
        <f t="shared" si="33"/>
        <v>0</v>
      </c>
      <c r="G796" s="123" t="str">
        <f t="shared" si="34"/>
        <v>L796</v>
      </c>
    </row>
    <row r="797" spans="1:7" x14ac:dyDescent="0.2">
      <c r="A797" s="128">
        <v>777</v>
      </c>
      <c r="B797" s="123">
        <f t="shared" si="33"/>
        <v>0</v>
      </c>
      <c r="G797" s="123" t="str">
        <f t="shared" si="34"/>
        <v>L797</v>
      </c>
    </row>
    <row r="798" spans="1:7" x14ac:dyDescent="0.2">
      <c r="A798" s="128">
        <v>778</v>
      </c>
      <c r="B798" s="123">
        <f t="shared" si="33"/>
        <v>0</v>
      </c>
      <c r="G798" s="123" t="str">
        <f t="shared" si="34"/>
        <v>L798</v>
      </c>
    </row>
    <row r="799" spans="1:7" x14ac:dyDescent="0.2">
      <c r="A799" s="128">
        <v>779</v>
      </c>
      <c r="B799" s="123">
        <f t="shared" si="33"/>
        <v>0</v>
      </c>
      <c r="G799" s="123" t="str">
        <f t="shared" si="34"/>
        <v>L799</v>
      </c>
    </row>
    <row r="800" spans="1:7" x14ac:dyDescent="0.2">
      <c r="A800" s="128">
        <v>780</v>
      </c>
      <c r="B800" s="123">
        <f t="shared" si="33"/>
        <v>0</v>
      </c>
      <c r="G800" s="123" t="str">
        <f t="shared" si="34"/>
        <v>L800</v>
      </c>
    </row>
    <row r="801" spans="1:7" x14ac:dyDescent="0.2">
      <c r="A801" s="128">
        <v>781</v>
      </c>
      <c r="B801" s="123">
        <f t="shared" si="33"/>
        <v>0</v>
      </c>
      <c r="G801" s="123" t="str">
        <f t="shared" si="34"/>
        <v>L801</v>
      </c>
    </row>
    <row r="802" spans="1:7" x14ac:dyDescent="0.2">
      <c r="A802" s="128">
        <v>782</v>
      </c>
      <c r="B802" s="123">
        <f t="shared" si="33"/>
        <v>0</v>
      </c>
      <c r="G802" s="123" t="str">
        <f t="shared" si="34"/>
        <v>L802</v>
      </c>
    </row>
    <row r="803" spans="1:7" x14ac:dyDescent="0.2">
      <c r="A803" s="128">
        <v>783</v>
      </c>
      <c r="B803" s="123">
        <f t="shared" si="33"/>
        <v>0</v>
      </c>
      <c r="G803" s="123" t="str">
        <f t="shared" si="34"/>
        <v>L803</v>
      </c>
    </row>
    <row r="804" spans="1:7" x14ac:dyDescent="0.2">
      <c r="A804" s="128">
        <v>784</v>
      </c>
      <c r="B804" s="123">
        <f t="shared" si="33"/>
        <v>0</v>
      </c>
      <c r="G804" s="123" t="str">
        <f t="shared" si="34"/>
        <v>L804</v>
      </c>
    </row>
    <row r="805" spans="1:7" x14ac:dyDescent="0.2">
      <c r="A805" s="128">
        <v>785</v>
      </c>
      <c r="B805" s="123">
        <f t="shared" si="33"/>
        <v>0</v>
      </c>
      <c r="G805" s="123" t="str">
        <f t="shared" si="34"/>
        <v>L805</v>
      </c>
    </row>
    <row r="806" spans="1:7" x14ac:dyDescent="0.2">
      <c r="A806" s="128">
        <v>786</v>
      </c>
      <c r="B806" s="123">
        <f t="shared" si="33"/>
        <v>0</v>
      </c>
      <c r="G806" s="123" t="str">
        <f t="shared" si="34"/>
        <v>L806</v>
      </c>
    </row>
    <row r="807" spans="1:7" x14ac:dyDescent="0.2">
      <c r="A807" s="128">
        <v>787</v>
      </c>
      <c r="B807" s="123">
        <f t="shared" si="33"/>
        <v>0</v>
      </c>
      <c r="G807" s="123" t="str">
        <f t="shared" si="34"/>
        <v>L807</v>
      </c>
    </row>
    <row r="808" spans="1:7" x14ac:dyDescent="0.2">
      <c r="A808" s="128">
        <v>788</v>
      </c>
      <c r="B808" s="123">
        <f t="shared" si="33"/>
        <v>0</v>
      </c>
      <c r="G808" s="123" t="str">
        <f t="shared" si="34"/>
        <v>L808</v>
      </c>
    </row>
    <row r="809" spans="1:7" x14ac:dyDescent="0.2">
      <c r="A809" s="128">
        <v>789</v>
      </c>
      <c r="B809" s="123">
        <f t="shared" si="33"/>
        <v>0</v>
      </c>
      <c r="G809" s="123" t="str">
        <f t="shared" si="34"/>
        <v>L809</v>
      </c>
    </row>
    <row r="810" spans="1:7" x14ac:dyDescent="0.2">
      <c r="A810" s="128">
        <v>790</v>
      </c>
      <c r="B810" s="123">
        <f t="shared" si="33"/>
        <v>0</v>
      </c>
      <c r="G810" s="123" t="str">
        <f t="shared" si="34"/>
        <v>L810</v>
      </c>
    </row>
    <row r="811" spans="1:7" x14ac:dyDescent="0.2">
      <c r="A811" s="128">
        <v>791</v>
      </c>
      <c r="B811" s="123">
        <f t="shared" si="33"/>
        <v>0</v>
      </c>
      <c r="G811" s="123" t="str">
        <f t="shared" si="34"/>
        <v>L811</v>
      </c>
    </row>
    <row r="812" spans="1:7" x14ac:dyDescent="0.2">
      <c r="A812" s="128">
        <v>792</v>
      </c>
      <c r="B812" s="123">
        <f t="shared" si="33"/>
        <v>0</v>
      </c>
      <c r="G812" s="123" t="str">
        <f t="shared" si="34"/>
        <v>L812</v>
      </c>
    </row>
    <row r="813" spans="1:7" x14ac:dyDescent="0.2">
      <c r="A813" s="128">
        <v>793</v>
      </c>
      <c r="B813" s="123">
        <f t="shared" si="33"/>
        <v>0</v>
      </c>
      <c r="G813" s="123" t="str">
        <f t="shared" si="34"/>
        <v>L813</v>
      </c>
    </row>
    <row r="814" spans="1:7" x14ac:dyDescent="0.2">
      <c r="A814" s="128">
        <v>794</v>
      </c>
      <c r="B814" s="123">
        <f t="shared" si="33"/>
        <v>0</v>
      </c>
      <c r="G814" s="123" t="str">
        <f t="shared" si="34"/>
        <v>L814</v>
      </c>
    </row>
    <row r="815" spans="1:7" x14ac:dyDescent="0.2">
      <c r="A815" s="128">
        <v>795</v>
      </c>
      <c r="B815" s="123">
        <f t="shared" si="33"/>
        <v>0</v>
      </c>
      <c r="G815" s="123" t="str">
        <f t="shared" si="34"/>
        <v>L815</v>
      </c>
    </row>
    <row r="816" spans="1:7" x14ac:dyDescent="0.2">
      <c r="A816" s="128">
        <v>796</v>
      </c>
      <c r="B816" s="123">
        <f t="shared" si="33"/>
        <v>0</v>
      </c>
      <c r="G816" s="123" t="str">
        <f t="shared" si="34"/>
        <v>L816</v>
      </c>
    </row>
    <row r="817" spans="1:7" x14ac:dyDescent="0.2">
      <c r="A817" s="128">
        <v>797</v>
      </c>
      <c r="B817" s="123">
        <f t="shared" si="33"/>
        <v>0</v>
      </c>
      <c r="G817" s="123" t="str">
        <f t="shared" si="34"/>
        <v>L817</v>
      </c>
    </row>
    <row r="818" spans="1:7" x14ac:dyDescent="0.2">
      <c r="A818" s="128">
        <v>798</v>
      </c>
      <c r="B818" s="123">
        <f t="shared" si="33"/>
        <v>0</v>
      </c>
      <c r="G818" s="123" t="str">
        <f t="shared" si="34"/>
        <v>L818</v>
      </c>
    </row>
    <row r="819" spans="1:7" x14ac:dyDescent="0.2">
      <c r="A819" s="128">
        <v>799</v>
      </c>
      <c r="B819" s="123">
        <f t="shared" si="33"/>
        <v>0</v>
      </c>
      <c r="G819" s="123" t="str">
        <f t="shared" si="34"/>
        <v>L819</v>
      </c>
    </row>
    <row r="820" spans="1:7" x14ac:dyDescent="0.2">
      <c r="A820" s="128">
        <v>800</v>
      </c>
      <c r="B820" s="123">
        <f t="shared" si="33"/>
        <v>0</v>
      </c>
      <c r="G820" s="123" t="str">
        <f t="shared" si="34"/>
        <v>L820</v>
      </c>
    </row>
  </sheetData>
  <sheetProtection algorithmName="SHA-512" hashValue="IqACdeNn4/nA2SyjXLbVoo9ONgKBbCf0XXd5d31pyA5VOWQ2FJ1nEGUq106VR+iiN81r4WfqjLwWrvmN/v9Kcw==" saltValue="sTUPsi0aTScbXC13E09+fQ==" spinCount="100000" sheet="1" objects="1" scenarios="1"/>
  <customSheetViews>
    <customSheetView guid="{AAA4D533-36AC-4D9A-85F4-EB15BCAB43D6}">
      <selection activeCell="B14" sqref="B14"/>
      <pageMargins left="0" right="0" top="0" bottom="0" header="0" footer="0"/>
    </customSheetView>
    <customSheetView guid="{F5BF5DFB-87FE-4DF9-9E82-BEE316A1D433}">
      <selection activeCell="B14" sqref="B14"/>
      <pageMargins left="0" right="0" top="0" bottom="0" header="0" footer="0"/>
    </customSheetView>
  </customSheetViews>
  <hyperlinks>
    <hyperlink ref="D7" location="Label_QA1" display="Basisfelder &amp; Steuerelemente" xr:uid="{FF0D141E-5B3A-48E0-804F-C7CEA71E97BC}"/>
    <hyperlink ref="D8" location="Label_QA2" display="Monatsblätter" xr:uid="{A78F6B92-24E9-45DE-95F8-4BA9692FD848}"/>
    <hyperlink ref="D9" location="Label_QA3" display="Jahresauswertung" xr:uid="{CF7442AF-7ED5-4722-A9A2-4FE3D36EDDE0}"/>
    <hyperlink ref="D10" location="Label_QA4" display="Spezialfelder / Reserve" xr:uid="{B6B3A422-3CFE-4523-BA62-A42ACAA61B11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218</vt:i4>
      </vt:variant>
    </vt:vector>
  </HeadingPairs>
  <TitlesOfParts>
    <vt:vector size="233" baseType="lpstr">
      <vt:lpstr>Admin_Konfig</vt:lpstr>
      <vt:lpstr>fiche du personnel</vt:lpstr>
      <vt:lpstr>JAN</vt:lpstr>
      <vt:lpstr>FEV</vt:lpstr>
      <vt:lpstr>MAR</vt:lpstr>
      <vt:lpstr>AVR</vt:lpstr>
      <vt:lpstr>MAI</vt:lpstr>
      <vt:lpstr>JUN</vt:lpstr>
      <vt:lpstr>JUL</vt:lpstr>
      <vt:lpstr>AOÛ</vt:lpstr>
      <vt:lpstr>SEP</vt:lpstr>
      <vt:lpstr>OCT</vt:lpstr>
      <vt:lpstr>NOV</vt:lpstr>
      <vt:lpstr>DEC</vt:lpstr>
      <vt:lpstr>report annuel</vt:lpstr>
      <vt:lpstr>A_Abzughoehe</vt:lpstr>
      <vt:lpstr>A_fldJahrBruttoStd</vt:lpstr>
      <vt:lpstr>A_fldMaxPhoch</vt:lpstr>
      <vt:lpstr>A_fldMaxPtief</vt:lpstr>
      <vt:lpstr>A_fldMaxTagStd</vt:lpstr>
      <vt:lpstr>A_fldMaxWStd</vt:lpstr>
      <vt:lpstr>A_fldMinPhoch</vt:lpstr>
      <vt:lpstr>A_fldMinPtief</vt:lpstr>
      <vt:lpstr>A_fldNettoAT</vt:lpstr>
      <vt:lpstr>A_fldSollTagStd</vt:lpstr>
      <vt:lpstr>A_fldZ1</vt:lpstr>
      <vt:lpstr>A_fldZ2</vt:lpstr>
      <vt:lpstr>A_fldZ3</vt:lpstr>
      <vt:lpstr>A_Jahr</vt:lpstr>
      <vt:lpstr>A_Reiseabzug</vt:lpstr>
      <vt:lpstr>A_Reisezeit</vt:lpstr>
      <vt:lpstr>A_SJ</vt:lpstr>
      <vt:lpstr>B_fldEintritt</vt:lpstr>
      <vt:lpstr>B_fldFerienBasis</vt:lpstr>
      <vt:lpstr>B_fldFerienVJ</vt:lpstr>
      <vt:lpstr>B_fldFirma</vt:lpstr>
      <vt:lpstr>B_fldMA</vt:lpstr>
      <vt:lpstr>B_fldMntGleich</vt:lpstr>
      <vt:lpstr>B_fldSaldoVJ</vt:lpstr>
      <vt:lpstr>B_fldStichtag</vt:lpstr>
      <vt:lpstr>B_fldTageGleich</vt:lpstr>
      <vt:lpstr>B_tblFeiertage</vt:lpstr>
      <vt:lpstr>B_tblFTMatrix</vt:lpstr>
      <vt:lpstr>B_tblPensum</vt:lpstr>
      <vt:lpstr>D_Debug</vt:lpstr>
      <vt:lpstr>AOÛ!Druckbereich</vt:lpstr>
      <vt:lpstr>AVR!Druckbereich</vt:lpstr>
      <vt:lpstr>DEC!Druckbereich</vt:lpstr>
      <vt:lpstr>FEV!Druckbereich</vt:lpstr>
      <vt:lpstr>'fiche du personnel'!Druckbereich</vt:lpstr>
      <vt:lpstr>JAN!Druckbereich</vt:lpstr>
      <vt:lpstr>JUL!Druckbereich</vt:lpstr>
      <vt:lpstr>JUN!Druckbereich</vt:lpstr>
      <vt:lpstr>MAI!Druckbereich</vt:lpstr>
      <vt:lpstr>MAR!Druckbereich</vt:lpstr>
      <vt:lpstr>NOV!Druckbereich</vt:lpstr>
      <vt:lpstr>OCT!Druckbereich</vt:lpstr>
      <vt:lpstr>'report annuel'!Druckbereich</vt:lpstr>
      <vt:lpstr>SEP!Druckbereich</vt:lpstr>
      <vt:lpstr>H_dFT</vt:lpstr>
      <vt:lpstr>H_dHelperMnt</vt:lpstr>
      <vt:lpstr>H_dKW</vt:lpstr>
      <vt:lpstr>h_dKW1</vt:lpstr>
      <vt:lpstr>H_dKWZ1w</vt:lpstr>
      <vt:lpstr>H_dMnt</vt:lpstr>
      <vt:lpstr>H_dMNTCurrentSaldo</vt:lpstr>
      <vt:lpstr>H_dProdToz</vt:lpstr>
      <vt:lpstr>h_dProdWoz</vt:lpstr>
      <vt:lpstr>H_dSoll100</vt:lpstr>
      <vt:lpstr>H_dSollBG</vt:lpstr>
      <vt:lpstr>h_fldAnZFT</vt:lpstr>
      <vt:lpstr>H_fldFerienCalc</vt:lpstr>
      <vt:lpstr>H_fldFerienCalcVsmgv</vt:lpstr>
      <vt:lpstr>H_fldFerienEndSaldo</vt:lpstr>
      <vt:lpstr>H_fldFerienKalkBG</vt:lpstr>
      <vt:lpstr>H_fldFerienPerStichtag</vt:lpstr>
      <vt:lpstr>H_fldFerienSaldoKORR</vt:lpstr>
      <vt:lpstr>H_fldFerienStartsaldo</vt:lpstr>
      <vt:lpstr>H_tblBG</vt:lpstr>
      <vt:lpstr>H_tblBGavg</vt:lpstr>
      <vt:lpstr>H_tblBGMnt</vt:lpstr>
      <vt:lpstr>H_tblBGTage</vt:lpstr>
      <vt:lpstr>L_Sprache</vt:lpstr>
      <vt:lpstr>Label_QA1</vt:lpstr>
      <vt:lpstr>Label_QA2</vt:lpstr>
      <vt:lpstr>Label_QA3</vt:lpstr>
      <vt:lpstr>Label_QA4</vt:lpstr>
      <vt:lpstr>AOÛ!M_Ausschluss</vt:lpstr>
      <vt:lpstr>AVR!M_Ausschluss</vt:lpstr>
      <vt:lpstr>DEC!M_Ausschluss</vt:lpstr>
      <vt:lpstr>FEV!M_Ausschluss</vt:lpstr>
      <vt:lpstr>JAN!M_Ausschluss</vt:lpstr>
      <vt:lpstr>JUL!M_Ausschluss</vt:lpstr>
      <vt:lpstr>JUN!M_Ausschluss</vt:lpstr>
      <vt:lpstr>MAI!M_Ausschluss</vt:lpstr>
      <vt:lpstr>MAR!M_Ausschluss</vt:lpstr>
      <vt:lpstr>NOV!M_Ausschluss</vt:lpstr>
      <vt:lpstr>OCT!M_Ausschluss</vt:lpstr>
      <vt:lpstr>SEP!M_Ausschluss</vt:lpstr>
      <vt:lpstr>AOÛ!M_Daten</vt:lpstr>
      <vt:lpstr>AVR!M_Daten</vt:lpstr>
      <vt:lpstr>DEC!M_Daten</vt:lpstr>
      <vt:lpstr>FEV!M_Daten</vt:lpstr>
      <vt:lpstr>JAN!M_Daten</vt:lpstr>
      <vt:lpstr>JUL!M_Daten</vt:lpstr>
      <vt:lpstr>JUN!M_Daten</vt:lpstr>
      <vt:lpstr>MAI!M_Daten</vt:lpstr>
      <vt:lpstr>MAR!M_Daten</vt:lpstr>
      <vt:lpstr>NOV!M_Daten</vt:lpstr>
      <vt:lpstr>OCT!M_Daten</vt:lpstr>
      <vt:lpstr>SEP!M_Daten</vt:lpstr>
      <vt:lpstr>AOÛ!M_MntKontrolle</vt:lpstr>
      <vt:lpstr>AVR!M_MntKontrolle</vt:lpstr>
      <vt:lpstr>DEC!M_MntKontrolle</vt:lpstr>
      <vt:lpstr>FEV!M_MntKontrolle</vt:lpstr>
      <vt:lpstr>JAN!M_MntKontrolle</vt:lpstr>
      <vt:lpstr>JUL!M_MntKontrolle</vt:lpstr>
      <vt:lpstr>JUN!M_MntKontrolle</vt:lpstr>
      <vt:lpstr>MAI!M_MntKontrolle</vt:lpstr>
      <vt:lpstr>MAR!M_MntKontrolle</vt:lpstr>
      <vt:lpstr>NOV!M_MntKontrolle</vt:lpstr>
      <vt:lpstr>OCT!M_MntKontrolle</vt:lpstr>
      <vt:lpstr>SEP!M_MntKontrolle</vt:lpstr>
      <vt:lpstr>AOÛ!M_Monat</vt:lpstr>
      <vt:lpstr>AVR!M_Monat</vt:lpstr>
      <vt:lpstr>DEC!M_Monat</vt:lpstr>
      <vt:lpstr>FEV!M_Monat</vt:lpstr>
      <vt:lpstr>JAN!M_Monat</vt:lpstr>
      <vt:lpstr>JUL!M_Monat</vt:lpstr>
      <vt:lpstr>JUN!M_Monat</vt:lpstr>
      <vt:lpstr>MAI!M_Monat</vt:lpstr>
      <vt:lpstr>MAR!M_Monat</vt:lpstr>
      <vt:lpstr>NOV!M_Monat</vt:lpstr>
      <vt:lpstr>OCT!M_Monat</vt:lpstr>
      <vt:lpstr>SEP!M_Monat</vt:lpstr>
      <vt:lpstr>AOÛ!M_ProdN1</vt:lpstr>
      <vt:lpstr>AVR!M_ProdN1</vt:lpstr>
      <vt:lpstr>DEC!M_ProdN1</vt:lpstr>
      <vt:lpstr>FEV!M_ProdN1</vt:lpstr>
      <vt:lpstr>JAN!M_ProdN1</vt:lpstr>
      <vt:lpstr>JUL!M_ProdN1</vt:lpstr>
      <vt:lpstr>JUN!M_ProdN1</vt:lpstr>
      <vt:lpstr>MAI!M_ProdN1</vt:lpstr>
      <vt:lpstr>MAR!M_ProdN1</vt:lpstr>
      <vt:lpstr>NOV!M_ProdN1</vt:lpstr>
      <vt:lpstr>OCT!M_ProdN1</vt:lpstr>
      <vt:lpstr>SEP!M_ProdN1</vt:lpstr>
      <vt:lpstr>AOÛ!M_ProdN2</vt:lpstr>
      <vt:lpstr>AVR!M_ProdN2</vt:lpstr>
      <vt:lpstr>DEC!M_ProdN2</vt:lpstr>
      <vt:lpstr>FEV!M_ProdN2</vt:lpstr>
      <vt:lpstr>JAN!M_ProdN2</vt:lpstr>
      <vt:lpstr>JUL!M_ProdN2</vt:lpstr>
      <vt:lpstr>JUN!M_ProdN2</vt:lpstr>
      <vt:lpstr>MAI!M_ProdN2</vt:lpstr>
      <vt:lpstr>MAR!M_ProdN2</vt:lpstr>
      <vt:lpstr>NOV!M_ProdN2</vt:lpstr>
      <vt:lpstr>OCT!M_ProdN2</vt:lpstr>
      <vt:lpstr>SEP!M_ProdN2</vt:lpstr>
      <vt:lpstr>AOÛ!M_ProdTag</vt:lpstr>
      <vt:lpstr>AVR!M_ProdTag</vt:lpstr>
      <vt:lpstr>DEC!M_ProdTag</vt:lpstr>
      <vt:lpstr>FEV!M_ProdTag</vt:lpstr>
      <vt:lpstr>JAN!M_ProdTag</vt:lpstr>
      <vt:lpstr>JUL!M_ProdTag</vt:lpstr>
      <vt:lpstr>JUN!M_ProdTag</vt:lpstr>
      <vt:lpstr>MAI!M_ProdTag</vt:lpstr>
      <vt:lpstr>MAR!M_ProdTag</vt:lpstr>
      <vt:lpstr>NOV!M_ProdTag</vt:lpstr>
      <vt:lpstr>OCT!M_ProdTag</vt:lpstr>
      <vt:lpstr>SEP!M_ProdTag</vt:lpstr>
      <vt:lpstr>AOÛ!M_Reise</vt:lpstr>
      <vt:lpstr>AVR!M_Reise</vt:lpstr>
      <vt:lpstr>DEC!M_Reise</vt:lpstr>
      <vt:lpstr>FEV!M_Reise</vt:lpstr>
      <vt:lpstr>JAN!M_Reise</vt:lpstr>
      <vt:lpstr>JUL!M_Reise</vt:lpstr>
      <vt:lpstr>JUN!M_Reise</vt:lpstr>
      <vt:lpstr>MAI!M_Reise</vt:lpstr>
      <vt:lpstr>MAR!M_Reise</vt:lpstr>
      <vt:lpstr>NOV!M_Reise</vt:lpstr>
      <vt:lpstr>OCT!M_Reise</vt:lpstr>
      <vt:lpstr>SEP!M_Reise</vt:lpstr>
      <vt:lpstr>AOÛ!M_Reiseabzug</vt:lpstr>
      <vt:lpstr>AVR!M_Reiseabzug</vt:lpstr>
      <vt:lpstr>DEC!M_Reiseabzug</vt:lpstr>
      <vt:lpstr>FEV!M_Reiseabzug</vt:lpstr>
      <vt:lpstr>JAN!M_Reiseabzug</vt:lpstr>
      <vt:lpstr>JUL!M_Reiseabzug</vt:lpstr>
      <vt:lpstr>JUN!M_Reiseabzug</vt:lpstr>
      <vt:lpstr>MAI!M_Reiseabzug</vt:lpstr>
      <vt:lpstr>MAR!M_Reiseabzug</vt:lpstr>
      <vt:lpstr>NOV!M_Reiseabzug</vt:lpstr>
      <vt:lpstr>OCT!M_Reiseabzug</vt:lpstr>
      <vt:lpstr>SEP!M_Reiseabzug</vt:lpstr>
      <vt:lpstr>AOÛ!M_Verweisspalte</vt:lpstr>
      <vt:lpstr>AVR!M_Verweisspalte</vt:lpstr>
      <vt:lpstr>DEC!M_Verweisspalte</vt:lpstr>
      <vt:lpstr>FEV!M_Verweisspalte</vt:lpstr>
      <vt:lpstr>JAN!M_Verweisspalte</vt:lpstr>
      <vt:lpstr>JUL!M_Verweisspalte</vt:lpstr>
      <vt:lpstr>JUN!M_Verweisspalte</vt:lpstr>
      <vt:lpstr>MAI!M_Verweisspalte</vt:lpstr>
      <vt:lpstr>MAR!M_Verweisspalte</vt:lpstr>
      <vt:lpstr>NOV!M_Verweisspalte</vt:lpstr>
      <vt:lpstr>OCT!M_Verweisspalte</vt:lpstr>
      <vt:lpstr>SEP!M_Verweisspalte</vt:lpstr>
      <vt:lpstr>AOÛ!M_Verweiszeile</vt:lpstr>
      <vt:lpstr>AVR!M_Verweiszeile</vt:lpstr>
      <vt:lpstr>DEC!M_Verweiszeile</vt:lpstr>
      <vt:lpstr>FEV!M_Verweiszeile</vt:lpstr>
      <vt:lpstr>JAN!M_Verweiszeile</vt:lpstr>
      <vt:lpstr>JUL!M_Verweiszeile</vt:lpstr>
      <vt:lpstr>JUN!M_Verweiszeile</vt:lpstr>
      <vt:lpstr>MAI!M_Verweiszeile</vt:lpstr>
      <vt:lpstr>MAR!M_Verweiszeile</vt:lpstr>
      <vt:lpstr>NOV!M_Verweiszeile</vt:lpstr>
      <vt:lpstr>OCT!M_Verweiszeile</vt:lpstr>
      <vt:lpstr>SEP!M_Verweiszeile</vt:lpstr>
      <vt:lpstr>selectedLanguage</vt:lpstr>
      <vt:lpstr>AOÛ!UserAreaAll</vt:lpstr>
      <vt:lpstr>AVR!UserAreaAll</vt:lpstr>
      <vt:lpstr>DEC!UserAreaAll</vt:lpstr>
      <vt:lpstr>FEV!UserAreaAll</vt:lpstr>
      <vt:lpstr>JAN!UserAreaAll</vt:lpstr>
      <vt:lpstr>JUL!UserAreaAll</vt:lpstr>
      <vt:lpstr>JUN!UserAreaAll</vt:lpstr>
      <vt:lpstr>MAI!UserAreaAll</vt:lpstr>
      <vt:lpstr>MAR!UserAreaAll</vt:lpstr>
      <vt:lpstr>NOV!UserAreaAll</vt:lpstr>
      <vt:lpstr>OCT!UserAreaAll</vt:lpstr>
      <vt:lpstr>'report annuel'!UserAreaAll</vt:lpstr>
      <vt:lpstr>SEP!UserAreaAll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Arbeitszeitkontrolle SMGV</dc:title>
  <dc:subject/>
  <dc:creator>SMGV</dc:creator>
  <cp:keywords/>
  <dc:description/>
  <cp:lastModifiedBy>Rahel Hoffmann</cp:lastModifiedBy>
  <cp:revision/>
  <cp:lastPrinted>2026-01-07T23:21:22Z</cp:lastPrinted>
  <dcterms:created xsi:type="dcterms:W3CDTF">2001-11-13T20:07:37Z</dcterms:created>
  <dcterms:modified xsi:type="dcterms:W3CDTF">2026-06-05T13:40:55Z</dcterms:modified>
  <cp:category/>
  <cp:contentStatus/>
</cp:coreProperties>
</file>